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upNcTikVW/wKkp0L3qYRigvRbFeaJdl/jojkHqXIK4CWBHz0eWf8i1km3u0hj8cNk7VSOkMvr1iLCZahPoR5UA==" workbookSaltValue="HrHxTBkOUnmQ/vQzT8rF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F28" i="2" l="1"/>
  <c r="E23" i="12"/>
  <c r="BF17" i="8"/>
  <c r="L17" i="14"/>
  <c r="H28" i="2"/>
  <c r="F16" i="11"/>
  <c r="AQ16" i="11" s="1"/>
  <c r="P13" i="14"/>
  <c r="R13" i="14" s="1"/>
  <c r="BF17" i="13"/>
  <c r="BF16" i="13"/>
  <c r="BG17" i="13"/>
  <c r="R8" i="9"/>
  <c r="R11"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2" i="11"/>
  <c r="R22" i="14"/>
  <c r="S18" i="14"/>
  <c r="V18" i="14" s="1"/>
  <c r="T12" i="11"/>
  <c r="BF23" i="13"/>
  <c r="AP17" i="20"/>
  <c r="BL19" i="11"/>
  <c r="BJ22" i="11"/>
  <c r="BJ18" i="11"/>
  <c r="BG10" i="11"/>
  <c r="BM17" i="11"/>
  <c r="V11" i="16"/>
  <c r="BF21" i="11"/>
  <c r="V25" i="11"/>
  <c r="BF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13" i="16"/>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T19" i="11"/>
  <c r="R28" i="14"/>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AQ17" i="11"/>
  <c r="BV30" i="16"/>
  <c r="P12" i="1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L32" i="17"/>
  <c r="U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K32" i="16"/>
  <c r="I32" i="2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<sst xmlns="http://schemas.openxmlformats.org/spreadsheetml/2006/main" count="2682" uniqueCount="1193">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</sst>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ttZ1iGE0J+AjwXgOcH4O4rsTcx3d2bbjaw0UhnSjSSwP5c4RSA8+4eN6+BJUv1tIE2tlIXdky/4/nUhDykWWQ==" saltValue="/9gbbjQNKs0q5oIkwMmB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v>
      </c>
      <c r="F10" s="240">
        <f>IF(ISNUMBER(Datos!K10),Datos!K10," - ")</f>
        <v>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51.333333333333336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32.409961685823752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272</v>
      </c>
      <c r="D17" s="239">
        <f>IF(ISNUMBER(IF(D_I="SI",Datos!I17,Datos!I17+Datos!AC17)),IF(D_I="SI",Datos!I17,Datos!I17+Datos!AC17)," - ")</f>
        <v>272</v>
      </c>
      <c r="E17" s="240">
        <f>IF(ISNUMBER(IF(D_I="SI",Datos!J17,Datos!J17+Datos!AD17)),IF(D_I="SI",Datos!J17,Datos!J17+Datos!AD17)," - ")</f>
        <v>142</v>
      </c>
      <c r="F17" s="240">
        <f>IF(ISNUMBER(IF(D_I="SI",Datos!K17,Datos!K17+Datos!AE17)),IF(D_I="SI",Datos!K17,Datos!K17+Datos!AE17)," - ")</f>
        <v>179</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-0.13602941176470587</v>
      </c>
      <c r="L17" s="1402">
        <f>IF(ISNUMBER(NºAsuntos!I17/NºAsuntos!G17),(NºAsuntos!I17/NºAsuntos!G17)*11," - ")</f>
        <v>14.441340782122904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11</v>
      </c>
      <c r="E18" s="240">
        <f>IF(ISNUMBER(IF(D_I="SI",Datos!J18,Datos!J18+Datos!AD18)),IF(D_I="SI",Datos!J18,Datos!J18+Datos!AD18)," - ")</f>
        <v>17</v>
      </c>
      <c r="F18" s="240">
        <f>IF(ISNUMBER(IF(D_I="SI",Datos!K18,Datos!K18+Datos!AE18)),IF(D_I="SI",Datos!K18,Datos!K18+Datos!AE18)," - ")</f>
        <v>20</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7.6999999999999993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289</v>
      </c>
      <c r="D23" s="1407">
        <f>SUBTOTAL(9,D16:D22)</f>
        <v>283</v>
      </c>
      <c r="E23" s="1408">
        <f>SUBTOTAL(9,E16:E22)</f>
        <v>159</v>
      </c>
      <c r="F23" s="1408">
        <f>SUBTOTAL(9,F16:F22)</f>
        <v>199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305</v>
      </c>
      <c r="D31" s="1435">
        <f>SUBTOTAL(9,D9:D30)</f>
        <v>299</v>
      </c>
      <c r="E31" s="1436">
        <f>SUBTOTAL(9,E9:E30)</f>
        <v>160</v>
      </c>
      <c r="F31" s="1436">
        <f>SUBTOTAL(9,F9:F30)</f>
        <v>202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a9Vkjq7uosV6rmSJi6JeEeAyB4oZDLa1Vad3RlVtq0WAwa1Hn7isC4Ua3122UZNOwN++FjwwoZL1V+vmcY3tA==" saltValue="MfEVGETbQmvjj/L9vLDk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0aHuSAqU8EAnz2S02WzopzsSeGIeaytnbRTTLTu6gX6osFWH6jS2GTUEvB42bwM/dMh+gTYlKxeR62e1VfNfw==" saltValue="DXF9Jj1yjBqv8IeyNmdz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v>
      </c>
      <c r="K10" s="194">
        <v>3</v>
      </c>
      <c r="L10" s="194">
        <v>14</v>
      </c>
      <c r="M10" s="194">
        <v>1</v>
      </c>
      <c r="N10" s="194">
        <v>1</v>
      </c>
      <c r="O10" s="194">
        <v>1</v>
      </c>
      <c r="P10" s="194">
        <v>0</v>
      </c>
      <c r="Q10" s="194">
        <v>0</v>
      </c>
      <c r="R10" s="194">
        <v>0</v>
      </c>
      <c r="S10" s="194">
        <v>3</v>
      </c>
      <c r="T10" s="194">
        <v>3</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851</v>
      </c>
      <c r="J12" s="196">
        <v>120</v>
      </c>
      <c r="K12" s="196">
        <v>239</v>
      </c>
      <c r="L12" s="196">
        <v>733</v>
      </c>
      <c r="M12" s="196">
        <v>39</v>
      </c>
      <c r="N12" s="196">
        <v>107</v>
      </c>
      <c r="O12" s="194">
        <v>129</v>
      </c>
      <c r="P12" s="196">
        <v>27</v>
      </c>
      <c r="Q12" s="196">
        <v>26</v>
      </c>
      <c r="R12" s="196">
        <v>1266</v>
      </c>
      <c r="S12" s="196">
        <v>702</v>
      </c>
      <c r="T12" s="196">
        <v>137</v>
      </c>
      <c r="U12" s="196">
        <v>209</v>
      </c>
      <c r="V12" s="196">
        <v>630</v>
      </c>
      <c r="W12" s="196">
        <v>58</v>
      </c>
      <c r="X12" s="202">
        <v>70</v>
      </c>
      <c r="Y12" s="204">
        <v>33</v>
      </c>
      <c r="Z12" s="194">
        <v>25</v>
      </c>
      <c r="AA12" s="194">
        <v>22</v>
      </c>
      <c r="AB12" s="194">
        <v>36</v>
      </c>
      <c r="AC12" s="196">
        <v>0</v>
      </c>
      <c r="AD12" s="196">
        <v>0</v>
      </c>
      <c r="AE12" s="196">
        <v>0</v>
      </c>
      <c r="AF12" s="202">
        <v>0</v>
      </c>
      <c r="AG12" s="215">
        <v>25</v>
      </c>
      <c r="AH12" s="196">
        <v>20</v>
      </c>
      <c r="AI12" s="196">
        <v>11</v>
      </c>
      <c r="AJ12" s="216">
        <v>34</v>
      </c>
      <c r="AK12" s="195">
        <v>0</v>
      </c>
      <c r="AL12" s="196">
        <v>0</v>
      </c>
      <c r="AM12" s="196">
        <v>0</v>
      </c>
      <c r="AN12" s="202">
        <v>0</v>
      </c>
      <c r="AO12" s="283">
        <v>1</v>
      </c>
      <c r="AP12" s="168">
        <v>1</v>
      </c>
      <c r="AQ12" s="168">
        <v>1</v>
      </c>
      <c r="AR12" s="167">
        <v>1</v>
      </c>
      <c r="AS12" s="381" t="s">
        <v>1075</v>
      </c>
      <c r="AT12" s="216"/>
      <c r="AU12" s="215"/>
      <c r="AV12" s="216"/>
      <c r="AW12" s="215"/>
      <c r="AX12" s="216"/>
      <c r="AY12" s="136">
        <f t="shared" si="1"/>
        <v>727</v>
      </c>
      <c r="AZ12" s="137">
        <f t="shared" si="1"/>
        <v>157</v>
      </c>
      <c r="BA12" s="137">
        <f t="shared" si="1"/>
        <v>220</v>
      </c>
      <c r="BB12" s="137">
        <f t="shared" si="1"/>
        <v>664</v>
      </c>
      <c r="BC12" s="135">
        <f>IF(ISNUMBER(X12),X12," - ")</f>
        <v>70</v>
      </c>
      <c r="BD12" s="136">
        <f t="shared" si="2"/>
        <v>1.4012738853503184</v>
      </c>
      <c r="BE12" s="137">
        <f t="shared" si="3"/>
        <v>3.0181818181818181</v>
      </c>
      <c r="BF12" s="137">
        <f t="shared" si="4"/>
        <v>0.31818181818181818</v>
      </c>
      <c r="BG12" s="209">
        <f t="shared" si="5"/>
        <v>4.0181818181818185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867</v>
      </c>
      <c r="J14" s="197">
        <f t="shared" si="7"/>
        <v>121</v>
      </c>
      <c r="K14" s="197">
        <f t="shared" si="7"/>
        <v>242</v>
      </c>
      <c r="L14" s="197">
        <f t="shared" si="7"/>
        <v>747</v>
      </c>
      <c r="M14" s="197">
        <f t="shared" si="7"/>
        <v>40</v>
      </c>
      <c r="N14" s="197">
        <f t="shared" si="7"/>
        <v>108</v>
      </c>
      <c r="O14" s="197">
        <f t="shared" si="7"/>
        <v>130</v>
      </c>
      <c r="P14" s="197">
        <f t="shared" si="7"/>
        <v>27</v>
      </c>
      <c r="Q14" s="197">
        <f t="shared" si="7"/>
        <v>26</v>
      </c>
      <c r="R14" s="197">
        <f t="shared" si="7"/>
        <v>1266</v>
      </c>
      <c r="S14" s="197">
        <f t="shared" si="7"/>
        <v>705</v>
      </c>
      <c r="T14" s="197">
        <f t="shared" si="7"/>
        <v>140</v>
      </c>
      <c r="U14" s="197">
        <f t="shared" si="7"/>
        <v>209</v>
      </c>
      <c r="V14" s="197">
        <f t="shared" si="7"/>
        <v>636</v>
      </c>
      <c r="W14" s="197">
        <f t="shared" si="7"/>
        <v>58</v>
      </c>
      <c r="X14" s="197">
        <f t="shared" si="7"/>
        <v>70</v>
      </c>
      <c r="Y14" s="197">
        <f t="shared" si="7"/>
        <v>33</v>
      </c>
      <c r="Z14" s="197">
        <f t="shared" si="7"/>
        <v>25</v>
      </c>
      <c r="AA14" s="197">
        <f t="shared" si="7"/>
        <v>22</v>
      </c>
      <c r="AB14" s="197">
        <f t="shared" si="7"/>
        <v>36</v>
      </c>
      <c r="AC14" s="197">
        <f t="shared" si="7"/>
        <v>0</v>
      </c>
      <c r="AD14" s="197">
        <f t="shared" si="7"/>
        <v>0</v>
      </c>
      <c r="AE14" s="197">
        <f t="shared" si="7"/>
        <v>0</v>
      </c>
      <c r="AF14" s="197">
        <f>SUBTOTAL(9,AF9:AF13)</f>
        <v>0</v>
      </c>
      <c r="AG14" s="197">
        <f t="shared" ref="AG14:AT14" si="8">SUBTOTAL(9,AG8:AG13)</f>
        <v>25</v>
      </c>
      <c r="AH14" s="197">
        <f t="shared" si="8"/>
        <v>20</v>
      </c>
      <c r="AI14" s="197">
        <f t="shared" si="8"/>
        <v>11</v>
      </c>
      <c r="AJ14" s="197">
        <f t="shared" si="8"/>
        <v>34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730</v>
      </c>
      <c r="AZ14" s="197">
        <f>SUBTOTAL(9,AZ8:AZ13)</f>
        <v>160</v>
      </c>
      <c r="BA14" s="197">
        <f>SUBTOTAL(9,BA8:BA13)</f>
        <v>220</v>
      </c>
      <c r="BB14" s="197">
        <f>SUBTOTAL(9,BB8:BB13)</f>
        <v>670</v>
      </c>
      <c r="BC14" s="197">
        <f>SUBTOTAL(9,BC8:BC13)</f>
        <v>70</v>
      </c>
      <c r="BD14" s="219">
        <f>IF(ISNUMBER(BA14/AZ14),BA14/AZ14," - ")</f>
        <v>1.375</v>
      </c>
      <c r="BE14" s="220">
        <f>IF(ISNUMBER(BB14/BA14),BB14/BA14, " - ")</f>
        <v>3.0454545454545454</v>
      </c>
      <c r="BF14" s="220">
        <f>IF(ISNUMBER(BC14/BA14),BC14/BA14, " - ")</f>
        <v>0.31818181818181818</v>
      </c>
      <c r="BG14" s="221">
        <f>IF(ISNUMBER((AY14+AZ14)/BA14),(AY14+AZ14)/BA14," - ")</f>
        <v>4.0454545454545459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272</v>
      </c>
      <c r="J17" s="196">
        <v>142</v>
      </c>
      <c r="K17" s="196">
        <v>179</v>
      </c>
      <c r="L17" s="196">
        <v>235</v>
      </c>
      <c r="M17" s="196">
        <v>40</v>
      </c>
      <c r="N17" s="196">
        <v>90</v>
      </c>
      <c r="O17" s="194">
        <v>8</v>
      </c>
      <c r="P17" s="196">
        <v>0</v>
      </c>
      <c r="Q17" s="196">
        <v>8</v>
      </c>
      <c r="R17" s="196">
        <v>25</v>
      </c>
      <c r="S17" s="196">
        <v>343</v>
      </c>
      <c r="T17" s="196">
        <v>304</v>
      </c>
      <c r="U17" s="196">
        <v>310</v>
      </c>
      <c r="V17" s="196">
        <v>337</v>
      </c>
      <c r="W17" s="196">
        <v>32</v>
      </c>
      <c r="X17" s="202">
        <v>191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343</v>
      </c>
      <c r="AZ17" s="137">
        <f t="shared" si="10"/>
        <v>304</v>
      </c>
      <c r="BA17" s="137">
        <f t="shared" si="10"/>
        <v>310</v>
      </c>
      <c r="BB17" s="137">
        <f t="shared" si="10"/>
        <v>337</v>
      </c>
      <c r="BC17" s="135">
        <f>IF(ISNUMBER(W17),W17," - ")</f>
        <v>32</v>
      </c>
      <c r="BD17" s="136">
        <f t="shared" ref="BD17:BD22" si="12">IF(ISNUMBER(BA17/AZ17),BA17/AZ17," - ")</f>
        <v>1.0197368421052631</v>
      </c>
      <c r="BE17" s="137">
        <f t="shared" ref="BE17:BE22" si="13">IF(ISNUMBER(BB17/BA17),BB17/BA17, " - ")</f>
        <v>1.0870967741935484</v>
      </c>
      <c r="BF17" s="137">
        <f t="shared" ref="BF17:BF22" si="14">IF(ISNUMBER(BC17/BA17),BC17/BA17, " - ")</f>
        <v>0.1032258064516129</v>
      </c>
      <c r="BG17" s="209">
        <f t="shared" si="11"/>
        <v>2.0870967741935482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17</v>
      </c>
      <c r="K18" s="196">
        <v>20</v>
      </c>
      <c r="L18" s="196">
        <v>14</v>
      </c>
      <c r="M18" s="196">
        <v>3</v>
      </c>
      <c r="N18" s="196">
        <v>16</v>
      </c>
      <c r="O18" s="196">
        <v>0</v>
      </c>
      <c r="P18" s="196">
        <v>0</v>
      </c>
      <c r="Q18" s="196">
        <v>0</v>
      </c>
      <c r="R18" s="196">
        <v>0</v>
      </c>
      <c r="S18" s="196">
        <v>17</v>
      </c>
      <c r="T18" s="196">
        <v>29</v>
      </c>
      <c r="U18" s="196">
        <v>30</v>
      </c>
      <c r="V18" s="196">
        <v>16</v>
      </c>
      <c r="W18" s="196">
        <v>5</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29</v>
      </c>
      <c r="BA18" s="139">
        <f t="shared" si="15"/>
        <v>30</v>
      </c>
      <c r="BB18" s="139">
        <f t="shared" si="15"/>
        <v>16</v>
      </c>
      <c r="BC18" s="135">
        <f>IF(ISNUMBER(W18),W18," - ")</f>
        <v>5</v>
      </c>
      <c r="BD18" s="136">
        <f>IF(ISNUMBER(BA18/AZ18),BA18/AZ18," - ")</f>
        <v>1.0344827586206897</v>
      </c>
      <c r="BE18" s="137">
        <f>IF(ISNUMBER(BB18/BA18),BB18/BA18, " - ")</f>
        <v>0.53333333333333333</v>
      </c>
      <c r="BF18" s="137">
        <f>IF(ISNUMBER(BC18/BA18),BC18/BA18, " - ")</f>
        <v>0.16666666666666666</v>
      </c>
      <c r="BG18" s="209">
        <f>IF(ISNUMBER((AY18+AZ18)/BA18),(AY18+AZ18)/BA18," - ")</f>
        <v>1.5333333333333334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283</v>
      </c>
      <c r="J23" s="197">
        <f t="shared" si="21"/>
        <v>159</v>
      </c>
      <c r="K23" s="197">
        <f t="shared" si="21"/>
        <v>199</v>
      </c>
      <c r="L23" s="197">
        <f t="shared" si="21"/>
        <v>249</v>
      </c>
      <c r="M23" s="197">
        <f t="shared" si="21"/>
        <v>43</v>
      </c>
      <c r="N23" s="197">
        <f t="shared" si="21"/>
        <v>106</v>
      </c>
      <c r="O23" s="197">
        <f t="shared" si="21"/>
        <v>8</v>
      </c>
      <c r="P23" s="197">
        <f t="shared" si="21"/>
        <v>0</v>
      </c>
      <c r="Q23" s="197">
        <f t="shared" si="21"/>
        <v>8</v>
      </c>
      <c r="R23" s="197">
        <f t="shared" si="21"/>
        <v>25</v>
      </c>
      <c r="S23" s="197">
        <f t="shared" si="21"/>
        <v>360</v>
      </c>
      <c r="T23" s="197">
        <f t="shared" si="21"/>
        <v>333</v>
      </c>
      <c r="U23" s="197">
        <f t="shared" si="21"/>
        <v>340</v>
      </c>
      <c r="V23" s="197">
        <f t="shared" si="21"/>
        <v>353</v>
      </c>
      <c r="W23" s="197">
        <f t="shared" si="21"/>
        <v>37</v>
      </c>
      <c r="X23" s="197">
        <f t="shared" si="21"/>
        <v>199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360</v>
      </c>
      <c r="AZ23" s="197">
        <f>SUBTOTAL(9,AZ15:AZ22)</f>
        <v>333</v>
      </c>
      <c r="BA23" s="197">
        <f>SUBTOTAL(9,BA15:BA22)</f>
        <v>340</v>
      </c>
      <c r="BB23" s="197">
        <f>SUBTOTAL(9,BB15:BB22)</f>
        <v>353</v>
      </c>
      <c r="BC23" s="197">
        <f>SUBTOTAL(9,BC15:BC22)</f>
        <v>37</v>
      </c>
      <c r="BD23" s="219">
        <f>IF(ISNUMBER(BA23/AZ23),BA23/AZ23," - ")</f>
        <v>1.0210210210210211</v>
      </c>
      <c r="BE23" s="220">
        <f>IF(ISNUMBER(BB23/BA23),BB23/BA23, " - ")</f>
        <v>1.0382352941176471</v>
      </c>
      <c r="BF23" s="220">
        <f>IF(ISNUMBER(BC23/BA23),BC23/BA23, " - ")</f>
        <v>0.10882352941176471</v>
      </c>
      <c r="BG23" s="221">
        <f>IF(ISNUMBER((AY23+AZ23)/BA23),(AY23+AZ23)/BA23," - ")</f>
        <v>2.0382352941176469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1150</v>
      </c>
      <c r="J31" s="144">
        <f t="shared" si="36"/>
        <v>280</v>
      </c>
      <c r="K31" s="144">
        <f t="shared" si="36"/>
        <v>441</v>
      </c>
      <c r="L31" s="144">
        <f t="shared" si="36"/>
        <v>996</v>
      </c>
      <c r="M31" s="144">
        <f t="shared" si="36"/>
        <v>83</v>
      </c>
      <c r="N31" s="144">
        <f t="shared" si="36"/>
        <v>214</v>
      </c>
      <c r="O31" s="144">
        <f t="shared" si="36"/>
        <v>138</v>
      </c>
      <c r="P31" s="144">
        <f t="shared" si="36"/>
        <v>27</v>
      </c>
      <c r="Q31" s="144">
        <f t="shared" si="36"/>
        <v>34</v>
      </c>
      <c r="R31" s="144">
        <f t="shared" si="36"/>
        <v>1291</v>
      </c>
      <c r="S31" s="144">
        <f t="shared" si="36"/>
        <v>1065</v>
      </c>
      <c r="T31" s="144">
        <f t="shared" si="36"/>
        <v>473</v>
      </c>
      <c r="U31" s="144">
        <f t="shared" si="36"/>
        <v>549</v>
      </c>
      <c r="V31" s="144">
        <f t="shared" si="36"/>
        <v>989</v>
      </c>
      <c r="W31" s="144">
        <f t="shared" si="36"/>
        <v>95</v>
      </c>
      <c r="X31" s="144">
        <f t="shared" si="36"/>
        <v>269</v>
      </c>
      <c r="Y31" s="144">
        <f t="shared" si="36"/>
        <v>33</v>
      </c>
      <c r="Z31" s="144">
        <f t="shared" si="36"/>
        <v>25</v>
      </c>
      <c r="AA31" s="144">
        <f t="shared" si="36"/>
        <v>22</v>
      </c>
      <c r="AB31" s="144">
        <f t="shared" si="36"/>
        <v>36</v>
      </c>
      <c r="AC31" s="144">
        <f t="shared" si="36"/>
        <v>0</v>
      </c>
      <c r="AD31" s="144">
        <f t="shared" si="36"/>
        <v>0</v>
      </c>
      <c r="AE31" s="144">
        <f t="shared" si="36"/>
        <v>0</v>
      </c>
      <c r="AF31" s="144">
        <f t="shared" si="36"/>
        <v>0</v>
      </c>
      <c r="AG31" s="144">
        <f t="shared" si="36"/>
        <v>25</v>
      </c>
      <c r="AH31" s="144">
        <f t="shared" si="36"/>
        <v>20</v>
      </c>
      <c r="AI31" s="144">
        <f t="shared" si="36"/>
        <v>11</v>
      </c>
      <c r="AJ31" s="144">
        <f t="shared" si="36"/>
        <v>34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1090</v>
      </c>
      <c r="AZ31" s="144">
        <f>SUBTOTAL(9,AZ9:AZ30)</f>
        <v>493</v>
      </c>
      <c r="BA31" s="144">
        <f>SUBTOTAL(9,BA9:BA30)</f>
        <v>560</v>
      </c>
      <c r="BB31" s="144">
        <f>SUBTOTAL(9,BB9:BB30)</f>
        <v>1023</v>
      </c>
      <c r="BC31" s="145">
        <f>SUBTOTAL(9,BC9:BC30)</f>
        <v>107</v>
      </c>
      <c r="BD31" s="227">
        <f>IF(ISNUMBER(BA31/AZ31),BA31/AZ31," - ")</f>
        <v>1.1359026369168357</v>
      </c>
      <c r="BE31" s="224">
        <f>IF(ISNUMBER(BB31/BA31),BB31/BA31, " - ")</f>
        <v>1.8267857142857142</v>
      </c>
      <c r="BF31" s="224">
        <f>IF(ISNUMBER(BC31/BA31),BC31/BA31, " - ")</f>
        <v>0.19107142857142856</v>
      </c>
      <c r="BG31" s="145">
        <f>IF(ISNUMBER((AY31+AZ31)/BA31),(AY31+AZ31)/BA31," - ")</f>
        <v>2.8267857142857142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9vsffDoATsenkIYHppnKPBrQUHFmuFLu2jqesd0OKYVlnSG+fHdHNAxVRI7ojaOfWu6GLzLvu91AcrcDJXFvg==" saltValue="rJar3i/JQTWqJmUx7FXq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RsCoKYmOO1C4UscBzWT72rS05qFontmmw5ZetguNa//Z8aGkvYU3n5kJW1GHhwibzc4k6lcfr7puLatHVKXw==" saltValue="ZtQ+Eivx7/LZHEO6VCp6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PURCHENA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14.000000000000002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1266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107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1.8</v>
      </c>
      <c r="BH12" s="764">
        <f>IF(ISNUMBER(((IF(J_V="SI",Datos!L12/Datos!K12,(Datos!L12+Datos!AB12)/(Datos!K12+Datos!AA12)))*11)/factor_trimestre),((IF(J_V="SI",Datos!L12/Datos!K12,(Datos!L12+Datos!AB12)/(Datos!K12+Datos!AA12)))*11)/factor_trimestre," - ")</f>
        <v>8.8390804597701145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7.9051383399209485E-4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26</v>
      </c>
      <c r="AD14" s="1198">
        <f t="shared" si="2"/>
        <v>0</v>
      </c>
      <c r="AE14" s="1198">
        <f t="shared" si="2"/>
        <v>0</v>
      </c>
      <c r="AF14" s="1198">
        <f t="shared" si="2"/>
        <v>14</v>
      </c>
      <c r="AG14" s="1198">
        <f t="shared" si="2"/>
        <v>0</v>
      </c>
      <c r="AH14" s="1198">
        <f t="shared" si="2"/>
        <v>36</v>
      </c>
      <c r="AI14" s="1198">
        <f t="shared" si="2"/>
        <v>0</v>
      </c>
      <c r="AJ14" s="1198">
        <f t="shared" si="2"/>
        <v>0</v>
      </c>
      <c r="AK14" s="1198">
        <f t="shared" si="2"/>
        <v>0</v>
      </c>
      <c r="AL14" s="1198">
        <f t="shared" si="2"/>
        <v>0</v>
      </c>
      <c r="AM14" s="1198">
        <f t="shared" si="2"/>
        <v>1266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108</v>
      </c>
      <c r="BE14" s="1198">
        <f t="shared" si="2"/>
        <v>0</v>
      </c>
      <c r="BF14" s="1198">
        <f t="shared" si="2"/>
        <v>0</v>
      </c>
      <c r="BG14" s="1198">
        <f>IF(ISNUMBER(Datos!K14/Datos!J14),Datos!K14/Datos!J14," - ")</f>
        <v>2</v>
      </c>
      <c r="BH14" s="1202">
        <f>IF(ISNUMBER(((Datos!L14/Datos!K14)*11)/factor_trimestre),((Datos!L14/Datos!K14)*11)/factor_trimestre," - ")</f>
        <v>9.2603305785123968</v>
      </c>
      <c r="BI14" s="1198">
        <f>IF(ISNUMBER('Resol  Asuntos'!D14/NºAsuntos!G14),'Resol  Asuntos'!D14/NºAsuntos!G14," - ")</f>
        <v>0.15151515151515152</v>
      </c>
      <c r="BJ14" s="1198" t="str">
        <f>IF(ISNUMBER(Datos!CI14/Datos!CJ14),Datos!CI14/Datos!CJ14," - ")</f>
        <v xml:space="preserve"> - </v>
      </c>
      <c r="BK14" s="1198">
        <f>SUBTOTAL(9,BK8:BK13)</f>
        <v>0</v>
      </c>
      <c r="BL14" s="1198">
        <f>IF(ISNUMBER((I14-AB14+L14)/(F14)),(I14-AB14+L14)/(F14)," - ")</f>
        <v>-0.1875</v>
      </c>
      <c r="BM14" s="1203">
        <f>SUBTOTAL(9,BM9:BM13)</f>
        <v>7.9051383399209485E-4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272</v>
      </c>
      <c r="G17" s="743">
        <f>IF(ISNUMBER(IF(D_I="SI",Datos!I17,Datos!I17+Datos!AC17)),IF(D_I="SI",Datos!I17,Datos!I17+Datos!AC17)," - ")</f>
        <v>272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179</v>
      </c>
      <c r="AC17" s="240">
        <f>IF(ISNUMBER(Datos!Q17),Datos!Q17," - ")</f>
        <v>8</v>
      </c>
      <c r="AD17" s="374"/>
      <c r="AE17" s="562"/>
      <c r="AF17" s="741">
        <f>IF(ISNUMBER(IF(D_I="SI",Datos!L17,Datos!L17+Datos!AF17)),IF(D_I="SI",Datos!L17,Datos!L17+Datos!AF17)," - ")</f>
        <v>235</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1.2605633802816902</v>
      </c>
      <c r="BH17" s="764">
        <f>IF(ISNUMBER(((IF(D_I="SI",Datos!L17/Datos!K17,(Datos!L17+Datos!AF17)/(Datos!K17+Datos!AE17)))*11)/factor_trimestre),((IF(D_I="SI",Datos!L17/Datos!K17,(Datos!L17+Datos!AF17)/(Datos!K17+Datos!AE17)))*11)/factor_trimestre," - ")</f>
        <v>3.9385474860335195</v>
      </c>
      <c r="BI17" s="266">
        <f>IF(ISNUMBER('Resol  Asuntos'!D17/NºAsuntos!G17),'Resol  Asuntos'!D17/NºAsuntos!G17," - ")</f>
        <v>0.22346368715083798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1.1764705882352942</v>
      </c>
      <c r="BH18" s="764">
        <f>IF(ISNUMBER(((IF(D_I="SI",Datos!L18/Datos!K18,(Datos!L18+Datos!AF18)/(Datos!K18+Datos!AE18)))*11)/factor_trimestre),((IF(D_I="SI",Datos!L18/Datos!K18,(Datos!L18+Datos!AF18)/(Datos!K18+Datos!AE18)))*11)/factor_trimestre," - ")</f>
        <v>2.1</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272</v>
      </c>
      <c r="G23" s="1197">
        <f>SUBTOTAL(9,G16:G22)</f>
        <v>283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v>
      </c>
      <c r="AC23" s="1198">
        <f t="shared" si="5"/>
        <v>8</v>
      </c>
      <c r="AD23" s="1198">
        <f t="shared" si="5"/>
        <v>0</v>
      </c>
      <c r="AE23" s="1198">
        <f t="shared" si="5"/>
        <v>0</v>
      </c>
      <c r="AF23" s="1198">
        <f t="shared" si="5"/>
        <v>249</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106</v>
      </c>
      <c r="BE23" s="1198">
        <f t="shared" si="5"/>
        <v>0</v>
      </c>
      <c r="BF23" s="1198">
        <f t="shared" si="5"/>
        <v>0</v>
      </c>
      <c r="BG23" s="1198">
        <f>IF(ISNUMBER(Datos!K23/Datos!J23),Datos!K23/Datos!J23," - ")</f>
        <v>1.2515723270440251</v>
      </c>
      <c r="BH23" s="1202">
        <f>IF(ISNUMBER(((Datos!L23/Datos!K23)*11)/factor_trimestre),((Datos!L23/Datos!K23)*11)/factor_trimestre," - ")</f>
        <v>3.7537688442211059</v>
      </c>
      <c r="BI23" s="1198">
        <f>SUBTOTAL(9,BI16:BI22)</f>
        <v>0.373463687150838</v>
      </c>
      <c r="BJ23" s="1198">
        <f>SUBTOTAL(9,BJ16:BJ22)</f>
        <v>0</v>
      </c>
      <c r="BK23" s="1198">
        <f>SUBTOTAL(9,BK16:BK22)</f>
        <v>0</v>
      </c>
      <c r="BL23" s="1198">
        <f>IF(ISNUMBER((I23-AB23+L23)/(F23)),(I23-AB23+L23)/(F23)," - ")</f>
        <v>-0.73161764705882348</v>
      </c>
      <c r="BM23" s="1205">
        <f>IF(ISNUMBER((Datos!P23-Datos!Q23)/(Datos!R23-Datos!P23+Datos!Q23)),(Datos!P23-Datos!Q23)/(Datos!R23-Datos!P23+Datos!Q23)," - ")</f>
        <v>-0.24242424242424243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288</v>
      </c>
      <c r="G31" s="1117">
        <f t="shared" si="18"/>
        <v>299</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v>
      </c>
      <c r="AC31" s="1118">
        <f t="shared" si="19"/>
        <v>34</v>
      </c>
      <c r="AD31" s="1118">
        <f t="shared" si="19"/>
        <v>0</v>
      </c>
      <c r="AE31" s="1118">
        <f t="shared" si="19"/>
        <v>0</v>
      </c>
      <c r="AF31" s="1125">
        <f t="shared" si="19"/>
        <v>263</v>
      </c>
      <c r="AG31" s="1125">
        <f t="shared" si="19"/>
        <v>0</v>
      </c>
      <c r="AH31" s="1125">
        <f t="shared" si="19"/>
        <v>36</v>
      </c>
      <c r="AI31" s="1125">
        <f t="shared" si="19"/>
        <v>0</v>
      </c>
      <c r="AJ31" s="1118">
        <f t="shared" si="19"/>
        <v>0</v>
      </c>
      <c r="AK31" s="1125">
        <f t="shared" si="19"/>
        <v>0</v>
      </c>
      <c r="AL31" s="1125">
        <f t="shared" si="19"/>
        <v>0</v>
      </c>
      <c r="AM31" s="1125">
        <f t="shared" si="19"/>
        <v>1291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v>
      </c>
      <c r="BD31" s="1117">
        <f t="shared" si="19"/>
        <v>214</v>
      </c>
      <c r="BE31" s="1117">
        <f t="shared" si="19"/>
        <v>0</v>
      </c>
      <c r="BF31" s="1127">
        <f t="shared" si="19"/>
        <v>0</v>
      </c>
      <c r="BG31" s="1223">
        <f>IF(ISNUMBER(Datos!K31/Datos!J31),Datos!K31/Datos!J31," - ")</f>
        <v>1.575</v>
      </c>
      <c r="BH31" s="1223">
        <f>IF(ISNUMBER(((Datos!L31/Datos!K31)*11)/factor_trimestre),((Datos!L31/Datos!K31)*11)/factor_trimestre," - ")</f>
        <v>6.7755102040816331</v>
      </c>
      <c r="BI31" s="1103">
        <f>IF(ISNUMBER(Datos!J31/Datos!I31),Datos!J31/Datos!I31," - ")</f>
        <v>0.24347826086956523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-0.70138888888888884</v>
      </c>
      <c r="BM31" s="1188">
        <f>IF(ISNUMBER((Datos!P31-Datos!Q31+R31)/(Datos!R31-Datos!P31+Datos!Q31-R31)),(Datos!P31-Datos!Q31+R31)/(Datos!R31-Datos!P31+Datos!Q31-R31)," - ")</f>
        <v>-5.3929121725731898E-3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136.51666564928988</v>
      </c>
      <c r="G33" s="674">
        <f>IF(ISNUMBER(STDEV(G8:G30)),STDEV(G8:G30),"-")</f>
        <v>131.41519083025517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90.132706393987533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21.164323079857088</v>
      </c>
      <c r="BD33" s="673"/>
      <c r="BE33" s="673">
        <f>IF(ISNUMBER(STDEV(BE8:BE30)),STDEV(BE8:BE30),"-")</f>
        <v>0</v>
      </c>
      <c r="BF33" s="678">
        <f>IF(ISNUMBER(STDEV(BF8:BF30)),STDEV(BF8:BF30),"-")</f>
        <v>0</v>
      </c>
      <c r="BG33" s="1052">
        <f>IF(ISNUMBER(STDEV(BG8:BG30)),STDEV(BG8:BG30),"-")</f>
        <v>0.69919849827717573</v>
      </c>
      <c r="BH33" s="1058">
        <f>IF(ISNUMBER(STDEV(BH8:BH30)),STDEV(BH8:BH30),"-")</f>
        <v>4.5035511687237912</v>
      </c>
      <c r="BI33" s="273">
        <f>IF(ISNUMBER(STDEV(BI8:BI30)),STDEV(BI8:BI30),"-")</f>
        <v>0.10498927434897934</v>
      </c>
      <c r="BJ33" s="244" t="str">
        <f>IF(ISNUMBER(BL33/BM33),BL33/BM33," - ")</f>
        <v xml:space="preserve"> - </v>
      </c>
      <c r="BK33" s="709"/>
      <c r="BL33" s="681">
        <f>IF(ISNUMBER(STDEV(BL8:BL30)),STDEV(BL8:BL30),"-")</f>
        <v>0.38474927799856262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sfshaMtmmiDQhxYgA0IiCoFFqkDJgjtoBEmonZ4EJUWv/94IPHa5hNMR2sI1p0/PfUkB/NdzFbdPxMt/ANCaQ==" saltValue="J1Gbfb++RqH/BzxBOodr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PURCHENA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14.000000000000002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1266</v>
      </c>
      <c r="AF12" s="693" t="str">
        <f>IF(ISNUMBER(Datos!BV12),Datos!BV12," - ")</f>
        <v xml:space="preserve"> - </v>
      </c>
      <c r="AG12" s="552" t="str">
        <f>IF(ISNUMBER(Datos!DV12),Datos!DV12," - ")</f>
        <v xml:space="preserve"> - </v>
      </c>
      <c r="AH12" s="553"/>
      <c r="AI12" s="554"/>
      <c r="AJ12" s="552">
        <f>IF(ISNUMBER(Datos!M12),Datos!M12," - ")</f>
        <v>39</v>
      </c>
      <c r="AK12" s="693">
        <f>IF(ISNUMBER(Datos!N12),Datos!N12," - ")</f>
        <v>107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8.8390804597701145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7.9051383399209485E-4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26</v>
      </c>
      <c r="AA14" s="1199">
        <f t="shared" si="3"/>
        <v>14</v>
      </c>
      <c r="AB14" s="1199">
        <f t="shared" si="3"/>
        <v>0</v>
      </c>
      <c r="AC14" s="1199">
        <f t="shared" si="3"/>
        <v>0</v>
      </c>
      <c r="AD14" s="1199">
        <f t="shared" si="3"/>
        <v>0</v>
      </c>
      <c r="AE14" s="1199">
        <f t="shared" si="3"/>
        <v>1266</v>
      </c>
      <c r="AF14" s="1211">
        <f t="shared" si="3"/>
        <v>0</v>
      </c>
      <c r="AG14" s="1211">
        <f t="shared" si="3"/>
        <v>0</v>
      </c>
      <c r="AH14" s="1211">
        <f t="shared" si="3"/>
        <v>0</v>
      </c>
      <c r="AI14" s="1211">
        <f t="shared" si="3"/>
        <v>0</v>
      </c>
      <c r="AJ14" s="1211">
        <f t="shared" si="3"/>
        <v>40</v>
      </c>
      <c r="AK14" s="1211">
        <f t="shared" si="3"/>
        <v>108</v>
      </c>
      <c r="AL14" s="1211">
        <f t="shared" si="3"/>
        <v>0</v>
      </c>
      <c r="AM14" s="1211">
        <f t="shared" si="3"/>
        <v>0</v>
      </c>
      <c r="AN14" s="1211">
        <f t="shared" si="3"/>
        <v>0</v>
      </c>
      <c r="AO14" s="1203">
        <f>IF(ISNUMBER(((NºAsuntos!I14/NºAsuntos!G14)*11)/factor_trimestre),((NºAsuntos!I14/NºAsuntos!G14)*11)/factor_trimestre," - ")</f>
        <v>8.8977272727272734</v>
      </c>
      <c r="AP14" s="1213" t="str">
        <f>IF(ISNUMBER(Datos!CI14/Datos!CJ14),Datos!CI14/Datos!CJ14," - ")</f>
        <v xml:space="preserve"> - </v>
      </c>
      <c r="AQ14" s="1236">
        <f t="shared" ref="AQ14:AV14" si="4">SUBTOTAL(9,AQ9:AQ13)</f>
        <v>0</v>
      </c>
      <c r="AR14" s="1236">
        <f t="shared" si="4"/>
        <v>7.9051383399209485E-4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272</v>
      </c>
      <c r="G17" s="552">
        <f>IF(ISNUMBER(IF(D_I="SI",Datos!I17,Datos!I17+Datos!AC17)),IF(D_I="SI",Datos!I17,Datos!I17+Datos!AC17)," - ")</f>
        <v>272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179</v>
      </c>
      <c r="Z17" s="805">
        <f>IF(ISNUMBER(Datos!Q17),Datos!Q17," - ")</f>
        <v>8</v>
      </c>
      <c r="AA17" s="551">
        <f>IF(ISNUMBER(IF(D_I="SI",Datos!L17,Datos!L17+Datos!AF17)),IF(D_I="SI",Datos!L17,Datos!L17+Datos!AF17)," - ")</f>
        <v>235</v>
      </c>
      <c r="AB17" s="549"/>
      <c r="AC17" s="549"/>
      <c r="AD17" s="563"/>
      <c r="AE17" s="563">
        <f>IF(ISNUMBER(Datos!R17),Datos!R17," - ")</f>
        <v>25</v>
      </c>
      <c r="AF17" s="693" t="str">
        <f>IF(ISNUMBER(Datos!BV17),Datos!BV17," - ")</f>
        <v xml:space="preserve"> - </v>
      </c>
      <c r="AG17" s="552"/>
      <c r="AH17" s="553"/>
      <c r="AI17" s="554"/>
      <c r="AJ17" s="552">
        <f>IF(ISNUMBER(Datos!M17),Datos!M17," - ")</f>
        <v>40</v>
      </c>
      <c r="AK17" s="693">
        <f>IF(ISNUMBER(Datos!N17),Datos!N17," - ")</f>
        <v>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3.9385474860335195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272</v>
      </c>
      <c r="G23" s="1197">
        <f>SUBTOTAL(9,G16:G22)</f>
        <v>283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v>
      </c>
      <c r="Z23" s="1240">
        <f t="shared" si="6"/>
        <v>8</v>
      </c>
      <c r="AA23" s="1240">
        <f t="shared" si="6"/>
        <v>249</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43</v>
      </c>
      <c r="AK23" s="1240">
        <f t="shared" si="6"/>
        <v>106</v>
      </c>
      <c r="AL23" s="1240">
        <f t="shared" si="6"/>
        <v>0</v>
      </c>
      <c r="AM23" s="1240">
        <f t="shared" si="6"/>
        <v>0</v>
      </c>
      <c r="AN23" s="1240">
        <f t="shared" si="6"/>
        <v>0</v>
      </c>
      <c r="AO23" s="1242">
        <f>IF(ISNUMBER(((NºAsuntos!I23/NºAsuntos!G23)*11)/factor_trimestre),((NºAsuntos!I23/NºAsuntos!G23)*11)/factor_trimestre," - ")</f>
        <v>3.7537688442211059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288</v>
      </c>
      <c r="G31" s="1117">
        <f t="shared" si="12"/>
        <v>299</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v>
      </c>
      <c r="Z31" s="1124">
        <f t="shared" si="13"/>
        <v>34</v>
      </c>
      <c r="AA31" s="1125">
        <f t="shared" si="13"/>
        <v>263</v>
      </c>
      <c r="AB31" s="1125">
        <f t="shared" si="13"/>
        <v>0</v>
      </c>
      <c r="AC31" s="1125">
        <f t="shared" si="13"/>
        <v>0</v>
      </c>
      <c r="AD31" s="1126">
        <f t="shared" si="13"/>
        <v>0</v>
      </c>
      <c r="AE31" s="1126">
        <f t="shared" si="13"/>
        <v>1291</v>
      </c>
      <c r="AF31" s="1127">
        <f t="shared" si="13"/>
        <v>0</v>
      </c>
      <c r="AG31" s="1128">
        <f t="shared" si="13"/>
        <v>0</v>
      </c>
      <c r="AH31" s="1129">
        <f t="shared" si="13"/>
        <v>0</v>
      </c>
      <c r="AI31" s="1127">
        <f t="shared" si="13"/>
        <v>0</v>
      </c>
      <c r="AJ31" s="1117">
        <f t="shared" si="13"/>
        <v>83</v>
      </c>
      <c r="AK31" s="1117">
        <f t="shared" si="13"/>
        <v>214</v>
      </c>
      <c r="AL31" s="1117">
        <f t="shared" si="13"/>
        <v>0</v>
      </c>
      <c r="AM31" s="1130">
        <f t="shared" si="13"/>
        <v>0</v>
      </c>
      <c r="AN31" s="1120">
        <f>IF(ISNUMBER(Datos!K31/Datos!J31),Datos!K31/Datos!J31," - ")</f>
        <v>1.575</v>
      </c>
      <c r="AO31" s="1120">
        <f>IF(ISNUMBER(FIND("06",Criterios!A8,1)),(IF(ISNUMBER(((Datos!R31/Datos!Q31)*11)/factor_trimestre),((Datos!R31/Datos!Q31)*11)/factor_trimestre," - ")),(IF(ISNUMBER(((Datos!L31/Datos!K31)*11)/factor_trimestre),((Datos!L31/Datos!K31)*11)/factor_trimestre," - ")))</f>
        <v>6.7755102040816331</v>
      </c>
      <c r="AP31" s="1131" t="str">
        <f>IF(ISNUMBER(Datos!CI31/Datos!CJ31),Datos!CI31/Datos!CJ31," - ")</f>
        <v xml:space="preserve"> - </v>
      </c>
      <c r="AQ31" s="1131">
        <f>IF(OR(ISNUMBER(FIND("01",Criterios!A8,1)),ISNUMBER(FIND("02",Criterios!A8,1)),ISNUMBER(FIND("03",Criterios!A8,1)),ISNUMBER(FIND("04",Criterios!A8,1))),(J31-Y31+K31)/(F31-K31),(I31-Y31+K31)/(F31-K31))</f>
        <v>-0.70138888888888884</v>
      </c>
      <c r="AR31" s="1131">
        <f>IF(ISNUMBER((Datos!P31-Datos!Q31+O31)/(Datos!R31-Datos!P31+Datos!Q31-O31)),(Datos!P31-Datos!Q31+O31)/(Datos!R31-Datos!P31+Datos!Q31-O31)," - ")</f>
        <v>-5.3929121725731898E-3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136.51666564928988</v>
      </c>
      <c r="G33" s="674">
        <f>IF(ISNUMBER(STDEV(G8:G30)),STDEV(G8:G30),"-")</f>
        <v>131.41519083025517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21.164323079857088</v>
      </c>
      <c r="AK33" s="276"/>
      <c r="AL33" s="276">
        <f>IF(ISNUMBER(STDEV(AL8:AL30)),STDEV(AL8:AL30),"-")</f>
        <v>0</v>
      </c>
      <c r="AM33" s="278">
        <f>IF(ISNUMBER(STDEV(AM8:AM30)),STDEV(AM8:AM30),"-")</f>
        <v>0</v>
      </c>
      <c r="AN33" s="660">
        <f>IF(ISNUMBER(STDEV(AN8:AN30)),STDEV(AN8:AN30),"-")</f>
        <v>0</v>
      </c>
      <c r="AO33" s="661">
        <f>IF(ISNUMBER(STDEV(AO8:AO30)),STDEV(AO8:AO30),"-")</f>
        <v>4.4691641260188533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IP5uU4U/XCivHV22x+/o5+bVcNgqWtmK2wkI88X8W6nhpG4uQTjxRDJ/Nsc7V4h5OmzUuw9Vs7EMoTKj7RiQ==" saltValue="lezek28d6eziaB9mGwM9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rwWP3QsgNB2KNN57iTcn1Tnf9zudgtDW0EdA+TR4Br+ZbG0cY8f+lAU9oAKzHtJNvGz9nSjrw4IGG+EtZMhDQ==" saltValue="Bm0dJq9zt+dqU9zR8eP8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skknfW2fm1+7aMCk+4b7FR5CnyELtS+Z4CVSKXl+/XiUyCqFpfIDmz/vrLEdSpsHmtjl0zoUE1bGkccQKcDg==" saltValue="dLlAxhbTFQSoP7THOOT1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PURCHENA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0.15151515151515152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0.10713739108887084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kgTM2zn/sKG5WlDo2jXfUYpACUsCbwcK4vzjZ9GCpBV60rKES6BsPvG10VslPug5KESLmptDOHarH2yqScqEg==" saltValue="eyJuEXHrK1Mi6KqKDjrt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0zsXBSFCN2bmdJWnZcq56qo8kiBj/KAdO0WHHnQ/6uCBF20K7a4OfFY1wH+PkqQ3ab9YIbl6RpoGkBLdvMqpA==" saltValue="vcXEv7Jd5AZcZzRKxDWb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PURCHENA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v>
      </c>
      <c r="F10" s="452">
        <f>IF(ISNUMBER(E10/B10),E10/B10," - ")</f>
        <v>1</v>
      </c>
      <c r="G10" s="451">
        <f>IF(ISNUMBER(Datos!K10),Datos!K10," - ")</f>
        <v>3</v>
      </c>
      <c r="H10" s="452">
        <f>IF(ISNUMBER(G10/B10),G10/B10," - ")</f>
        <v>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884</v>
      </c>
      <c r="D12" s="452">
        <f>IF(ISNUMBER(C12/Datos!BH12),C12/Datos!BH12," - ")</f>
        <v>884</v>
      </c>
      <c r="E12" s="451">
        <f>IF(ISNUMBER(IF(J_V="SI",Datos!J12,Datos!J12+Datos!Z12)),IF(J_V="SI",Datos!J12,Datos!J12+Datos!Z12)," - ")</f>
        <v>145</v>
      </c>
      <c r="F12" s="452">
        <f>IF(ISNUMBER(E12/B12),E12/B12," - ")</f>
        <v>145</v>
      </c>
      <c r="G12" s="451">
        <f>IF(ISNUMBER(IF(J_V="SI",Datos!K12,Datos!K12+Datos!AA12)),IF(J_V="SI",Datos!K12,Datos!K12+Datos!AA12)," - ")</f>
        <v>261</v>
      </c>
      <c r="H12" s="452">
        <f>IF(ISNUMBER(G12/B12),G12/B12," - ")</f>
        <v>261</v>
      </c>
      <c r="I12" s="451">
        <f>IF(ISNUMBER(IF(J_V="SI",Datos!L12,Datos!L12+Datos!AB12)),IF(J_V="SI",Datos!L12,Datos!L12+Datos!AB12)," - ")</f>
        <v>769</v>
      </c>
      <c r="J12" s="452">
        <f>IF(ISNUMBER(I12/B12),I12/B12," - ")</f>
        <v>769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900</v>
      </c>
      <c r="D14" s="1147" t="str">
        <f>IF(ISNUMBER(C14/Datos!BI14),C14/Datos!BI14," - ")</f>
        <v xml:space="preserve"> - </v>
      </c>
      <c r="E14" s="1146">
        <f>SUBTOTAL(9,E8:E13)</f>
        <v>146</v>
      </c>
      <c r="F14" s="1147">
        <f>IF(ISNUMBER(E14/B14),E14/B14," - ")</f>
        <v>146</v>
      </c>
      <c r="G14" s="1146">
        <f>SUBTOTAL(9,G8:G13)</f>
        <v>264</v>
      </c>
      <c r="H14" s="1147">
        <f>IF(ISNUMBER(G14/B14),G14/B14," - ")</f>
        <v>264</v>
      </c>
      <c r="I14" s="1146">
        <f>SUBTOTAL(9,I8:I13)</f>
        <v>783</v>
      </c>
      <c r="J14" s="1147">
        <f>IF(ISNUMBER(I14/B14),I14/B14," - ")</f>
        <v>783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272</v>
      </c>
      <c r="D17" s="452">
        <f>IF(ISNUMBER(C17/Datos!BH17),C17/Datos!BH17," - ")</f>
        <v>272</v>
      </c>
      <c r="E17" s="451">
        <f>IF(ISNUMBER(IF(D_I="SI",Datos!J17,Datos!J17+Datos!AD17)),IF(D_I="SI",Datos!J17,Datos!J17+Datos!AD17)," - ")</f>
        <v>142</v>
      </c>
      <c r="F17" s="452">
        <f>IF(ISNUMBER(E17/B17),E17/B17," - ")</f>
        <v>142</v>
      </c>
      <c r="G17" s="451">
        <f>IF(ISNUMBER(IF(D_I="SI",Datos!K17,Datos!K17+Datos!AE17)),IF(D_I="SI",Datos!K17,Datos!K17+Datos!AE17)," - ")</f>
        <v>179</v>
      </c>
      <c r="H17" s="452">
        <f>IF(ISNUMBER(G17/B17),G17/B17," - ")</f>
        <v>179</v>
      </c>
      <c r="I17" s="451">
        <f>IF(ISNUMBER(IF(D_I="SI",Datos!L17,Datos!L17+Datos!AF17)),IF(D_I="SI",Datos!L17,Datos!L17+Datos!AF17)," - ")</f>
        <v>235</v>
      </c>
      <c r="J17" s="452">
        <f>IF(ISNUMBER(I17/B17),I17/B17," - ")</f>
        <v>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17</v>
      </c>
      <c r="F18" s="452">
        <f>IF(ISNUMBER(E18/B18),E18/B18," - ")</f>
        <v>17</v>
      </c>
      <c r="G18" s="451">
        <f>IF(ISNUMBER(IF(D_I="SI",Datos!K18,Datos!K18+Datos!AE18)),IF(D_I="SI",Datos!K18,Datos!K18+Datos!AE18)," - ")</f>
        <v>20</v>
      </c>
      <c r="H18" s="452">
        <f>IF(ISNUMBER(G18/B18),G18/B18," - ")</f>
        <v>20</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283</v>
      </c>
      <c r="D23" s="1147" t="str">
        <f>IF(ISNUMBER(C23/Datos!BI23),C23/Datos!BI23," - ")</f>
        <v xml:space="preserve"> - </v>
      </c>
      <c r="E23" s="1146">
        <f>SUBTOTAL(9,E15:E22)</f>
        <v>159</v>
      </c>
      <c r="F23" s="1147">
        <f>IF(ISNUMBER(E23/B23),E23/B23," - ")</f>
        <v>159</v>
      </c>
      <c r="G23" s="1146">
        <f>SUBTOTAL(9,G15:G22)</f>
        <v>199</v>
      </c>
      <c r="H23" s="1147">
        <f>IF(ISNUMBER(G23/B23),G23/B23," - ")</f>
        <v>199</v>
      </c>
      <c r="I23" s="1146">
        <f>SUBTOTAL(9,I15:I22)</f>
        <v>249</v>
      </c>
      <c r="J23" s="1147">
        <f>IF(ISNUMBER(I23/B23),I23/B23," - ")</f>
        <v>249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1183</v>
      </c>
      <c r="D31" s="1085" t="str">
        <f>IF(ISNUMBER(C31/Datos!BI31),C31/Datos!BI31," - ")</f>
        <v xml:space="preserve"> - </v>
      </c>
      <c r="E31" s="1084">
        <f>SUBTOTAL(9,E9:E30)</f>
        <v>305</v>
      </c>
      <c r="F31" s="1085">
        <f>IF(ISNUMBER(E31/B31),E31/B31," - ")</f>
        <v>305</v>
      </c>
      <c r="G31" s="1084">
        <f>SUBTOTAL(9,G9:G30)</f>
        <v>463</v>
      </c>
      <c r="H31" s="1085">
        <f>IF(ISNUMBER(G31/B31),G31/B31," - ")</f>
        <v>463</v>
      </c>
      <c r="I31" s="1084">
        <f>SUBTOTAL(9,I9:I30)</f>
        <v>1032</v>
      </c>
      <c r="J31" s="1085">
        <f>IF(ISNUMBER(I31/B31),I31/B31," - ")</f>
        <v>1032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NXLSqwVEfmZXMTarEgM8ED/E+Qj4mLMiVrrMMo2lBe+cwb+pjQwRIgzRwHzPLDU7ZoBBJBrlC9cWPoZlQ33aA==" saltValue="S9/jN1zXb58Jn8KvkTsd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PURCHENA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14.000000000000002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107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8.8390804597701145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7.9051383399209485E-4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26</v>
      </c>
      <c r="AE14" s="1257">
        <f t="shared" si="1"/>
        <v>0</v>
      </c>
      <c r="AF14" s="1257">
        <f t="shared" si="1"/>
        <v>14</v>
      </c>
      <c r="AG14" s="1257">
        <f t="shared" si="1"/>
        <v>0</v>
      </c>
      <c r="AH14" s="1257">
        <f t="shared" si="1"/>
        <v>1266</v>
      </c>
      <c r="AI14" s="1257">
        <f t="shared" si="1"/>
        <v>0</v>
      </c>
      <c r="AJ14" s="1257">
        <f t="shared" si="1"/>
        <v>0</v>
      </c>
      <c r="AK14" s="1257">
        <f t="shared" si="1"/>
        <v>0</v>
      </c>
      <c r="AL14" s="1257">
        <f t="shared" si="1"/>
        <v>40</v>
      </c>
      <c r="AM14" s="1257">
        <f t="shared" si="1"/>
        <v>108</v>
      </c>
      <c r="AN14" s="1257">
        <f t="shared" si="1"/>
        <v>0</v>
      </c>
      <c r="AO14" s="1257">
        <f t="shared" si="1"/>
        <v>0</v>
      </c>
      <c r="AP14" s="1262">
        <f>IF(ISNUMBER(((Datos!L14/Datos!K14)*11)/factor_trimestre),((Datos!L14/Datos!K14)*11)/factor_trimestre," - ")</f>
        <v>9.2603305785123968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7.9051383399209485E-4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3.7537688442211059</v>
      </c>
      <c r="AQ23" s="1262">
        <f>IF(ISNUMBER(((Datos!M23/Datos!L23)*11)/factor_trimestre),((Datos!M23/Datos!L23)*11)/factor_trimestre," - ")</f>
        <v>0.51807228915662651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-0.24242424242424243</v>
      </c>
      <c r="AW23" s="1265">
        <f>IF(ISNUMBER((Datos!Q23-Datos!R23)/(Datos!S23-Datos!Q23+Datos!R23)),(Datos!Q23-Datos!R23)/(Datos!S23-Datos!Q23+Datos!R23)," - ")</f>
        <v>-4.5092838196286469E-2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26</v>
      </c>
      <c r="AE31" s="1284">
        <f t="shared" si="9"/>
        <v>0</v>
      </c>
      <c r="AF31" s="1285">
        <f t="shared" si="9"/>
        <v>14</v>
      </c>
      <c r="AG31" s="1285">
        <f t="shared" si="9"/>
        <v>0</v>
      </c>
      <c r="AH31" s="1285">
        <f t="shared" si="9"/>
        <v>1266</v>
      </c>
      <c r="AI31" s="1285">
        <f t="shared" si="9"/>
        <v>0</v>
      </c>
      <c r="AJ31" s="1286">
        <f t="shared" si="9"/>
        <v>0</v>
      </c>
      <c r="AK31" s="1286">
        <f t="shared" si="9"/>
        <v>0</v>
      </c>
      <c r="AL31" s="1278">
        <f t="shared" si="9"/>
        <v>40</v>
      </c>
      <c r="AM31" s="1278">
        <f t="shared" si="9"/>
        <v>108</v>
      </c>
      <c r="AN31" s="1278">
        <f t="shared" si="9"/>
        <v>0</v>
      </c>
      <c r="AO31" s="1278">
        <f t="shared" si="9"/>
        <v>0</v>
      </c>
      <c r="AP31" s="1278">
        <f>IF(ISNUMBER(((Datos!L31/Datos!K31)*11)/factor_trimestre),((Datos!L31/Datos!K31)*11)/factor_trimestre," - ")</f>
        <v>6.7755102040816331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-5.3929121725731898E-3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20.274779078122322</v>
      </c>
      <c r="AM33" s="1006"/>
      <c r="AN33" s="1006">
        <f>IF(ISNUMBER(STDEV(AN8:AN30)),STDEV(AN8:AN30),"-")</f>
        <v>0</v>
      </c>
      <c r="AO33" s="1012">
        <f>IF(ISNUMBER(STDEV(AO8:AO30)),STDEV(AO8:AO30),"-")</f>
        <v>0</v>
      </c>
      <c r="AP33" s="1065">
        <f>IF(ISNUMBER(STDEV(AP8:AP30)),STDEV(AP8:AP30),"-")</f>
        <v>4.187728875801942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WRvpEgrsVt+YpHvvn/JaP0Zu1ZSKzGvgvjTnmQk8SddsJgZLIP6OignygOes8Ho9U4Q5ghL7d7gzXudoNvvAQ==" saltValue="I84yoGhxm+CEvwYF+/Ph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PURCHENA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j4W77+9A5RicC9KasDVIhJoSFcptqP10UsdCFdPJRmxaf0NibrvLGZAqwryVnBGEj8TyGWO1Msvcm96gpQNig==" saltValue="TrV5phUZoBrdsgZ/xuWv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PURCHENA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107</v>
      </c>
      <c r="G12" s="452">
        <f t="shared" si="1"/>
        <v>107</v>
      </c>
      <c r="H12" s="451">
        <f>IF(ISNUMBER(Datos!O12),Datos!O12," - ")</f>
        <v>129</v>
      </c>
      <c r="I12" s="452">
        <f t="shared" si="2"/>
        <v>129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40</v>
      </c>
      <c r="E14" s="1147">
        <f t="shared" si="0"/>
        <v>20</v>
      </c>
      <c r="F14" s="1146">
        <f>SUBTOTAL(9,F9:F13)</f>
        <v>108</v>
      </c>
      <c r="G14" s="1147">
        <f t="shared" si="1"/>
        <v>54</v>
      </c>
      <c r="H14" s="1146">
        <f>SUBTOTAL(9,H9:H13)</f>
        <v>130</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40</v>
      </c>
      <c r="E17" s="452">
        <f t="shared" si="3"/>
        <v>40</v>
      </c>
      <c r="F17" s="451">
        <f>IF(ISNUMBER(Datos!N17),Datos!N17," - ")</f>
        <v>90</v>
      </c>
      <c r="G17" s="452">
        <f t="shared" si="4"/>
        <v>90</v>
      </c>
      <c r="H17" s="451">
        <f>IF(ISNUMBER(Datos!O17),Datos!O17," - ")</f>
        <v>8</v>
      </c>
      <c r="I17" s="452">
        <f t="shared" si="5"/>
        <v>8</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43</v>
      </c>
      <c r="E23" s="1147">
        <f t="shared" si="3"/>
        <v>21.5</v>
      </c>
      <c r="F23" s="1146">
        <f>SUBTOTAL(9,F16:F22)</f>
        <v>106</v>
      </c>
      <c r="G23" s="1147">
        <f t="shared" si="4"/>
        <v>53</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83</v>
      </c>
      <c r="E31" s="1085">
        <f>IF(ISNUMBER(D31/B31),D31/B31," - ")</f>
        <v>83</v>
      </c>
      <c r="F31" s="1084">
        <f>SUBTOTAL(9,F8:F30)</f>
        <v>214</v>
      </c>
      <c r="G31" s="1085">
        <f>IF(ISNUMBER(F31/B31),F31/B31," - ")</f>
        <v>214</v>
      </c>
      <c r="H31" s="1084">
        <f>SUBTOTAL(9,H8:H30)</f>
        <v>138</v>
      </c>
      <c r="I31" s="1085">
        <f>IF(ISNUMBER(H31/B31),H31/B31," - ")</f>
        <v>138</v>
      </c>
    </row>
    <row r="34" spans="1:1">
      <c r="A34" s="439" t="str">
        <f>Criterios!A4</f>
        <v>Fecha Informe: 05 may. 2023</v>
      </c>
    </row>
    <row r="39" spans="1:1">
      <c r="A39" s="462"/>
    </row>
  </sheetData>
  <sheetProtection algorithmName="SHA-512" hashValue="N7qUWTu9llmGFtSr8FYYYwCtphAXB3vw5qg24SET4bhkwlLGQUayGN5nozhSeZDhQihVQ7ucIxUV0+1idIhI6Q==" saltValue="ZH4Hjo2djA9WNxQDnQq8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PURCHENA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26</v>
      </c>
      <c r="D12" s="456">
        <f>IF(ISNUMBER(Datos!R12),Datos!R12," - ")</f>
        <v>1266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26</v>
      </c>
      <c r="D14" s="1148">
        <f>SUBTOTAL(9,D9:D13)</f>
        <v>1266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8</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8</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34</v>
      </c>
      <c r="D31" s="1090">
        <f>SUBTOTAL(9,D8:D30)</f>
        <v>1291</v>
      </c>
    </row>
    <row r="32" spans="1:4" ht="7.5" customHeight="1"/>
    <row r="33" spans="1:1" ht="6" customHeight="1"/>
    <row r="34" spans="1:1">
      <c r="A34" s="439" t="str">
        <f>Criterios!A4</f>
        <v>Fecha Informe: 05 may. 2023</v>
      </c>
    </row>
    <row r="39" spans="1:1">
      <c r="A39" s="462"/>
    </row>
  </sheetData>
  <sheetProtection algorithmName="SHA-512" hashValue="eWva4OQdzz7PIkJMXLwGSu3D3uxuqQR+pQmYUCTV2D0UPNT12PssxlDrRGnu8QlJIv3S3oQpOyZdppdy506HRA==" saltValue="JMp223/tl0yqDei0GK5A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PURCHENA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4.333333333333333</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1.3333333333333333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0.21595598349381018</v>
      </c>
      <c r="C12" s="515">
        <f>IF(ISNUMBER(
   IF(J_V="SI",(Datos!J12-Datos!T12)/Datos!T12,(Datos!J12+Datos!Z12-(Datos!T12+Datos!AH12))/(Datos!T12+Datos!AH12))
     ),IF(J_V="SI",(Datos!J12-Datos!T12)/Datos!T12,(Datos!J12+Datos!Z12-(Datos!T12+Datos!AH12))/(Datos!T12+Datos!AH12))," - ")</f>
        <v>-7.6433121019108277E-2</v>
      </c>
      <c r="D12" s="515">
        <f>IF(ISNUMBER(
   IF(J_V="SI",(Datos!K12-Datos!U12)/Datos!U12,(Datos!K12+Datos!AA12-(Datos!U12+Datos!AI12))/(Datos!U12+Datos!AI12))
     ),IF(J_V="SI",(Datos!K12-Datos!U12)/Datos!U12,(Datos!K12+Datos!AA12-(Datos!U12+Datos!AI12))/(Datos!U12+Datos!AI12))," - ")</f>
        <v>0.18636363636363637</v>
      </c>
      <c r="E12" s="515">
        <f>IF(ISNUMBER(
   IF(J_V="SI",(Datos!L12-Datos!V12)/Datos!V12,(Datos!L12+Datos!AB12-(Datos!V12+Datos!AJ12))/(Datos!V12+Datos!AJ12))
     ),IF(J_V="SI",(Datos!L12-Datos!V12)/Datos!V12,(Datos!L12+Datos!AB12-(Datos!V12+Datos!AJ12))/(Datos!V12+Datos!AJ12))," - ")</f>
        <v>0.15813253012048192</v>
      </c>
      <c r="F12" s="515">
        <f>IF(ISNUMBER((Datos!M12-Datos!W12)/Datos!W12),(Datos!M12-Datos!W12)/Datos!W12," - ")</f>
        <v>-0.32758620689655171</v>
      </c>
      <c r="G12" s="516">
        <f>IF(ISNUMBER((Datos!N12-Datos!X12)/Datos!X12),(Datos!N12-Datos!X12)/Datos!X12," - ")</f>
        <v>0.52857142857142858</v>
      </c>
      <c r="H12" s="514">
        <f>IF(ISNUMBER(((NºAsuntos!G12/NºAsuntos!E12)-Datos!BD12)/Datos!BD12),((NºAsuntos!G12/NºAsuntos!E12)-Datos!BD12)/Datos!BD12," - ")</f>
        <v>0.28454545454545466</v>
      </c>
      <c r="I12" s="515">
        <f>IF(ISNUMBER(((NºAsuntos!I12/NºAsuntos!G12)-Datos!BE12)/Datos!BE12),((NºAsuntos!I12/NºAsuntos!G12)-Datos!BE12)/Datos!BE12," - ")</f>
        <v>-2.3796334764344704E-2</v>
      </c>
      <c r="J12" s="521">
        <f>IF(ISNUMBER((('Resol  Asuntos'!D12/NºAsuntos!G12)-Datos!BF12)/Datos!BF12),(('Resol  Asuntos'!D12/NºAsuntos!G12)-Datos!BF12)/Datos!BF12," - ")</f>
        <v>-0.5303776683087027</v>
      </c>
      <c r="K12" s="522">
        <f>IF(ISNUMBER((((NºAsuntos!C12+NºAsuntos!E12)/NºAsuntos!G12)-Datos!BG12)/Datos!BG12),(((NºAsuntos!C12+NºAsuntos!E12)/NºAsuntos!G12)-Datos!BG12)/Datos!BG12," - ")</f>
        <v>-1.882769022728464E-2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0.23287671232876711</v>
      </c>
      <c r="C14" s="1152">
        <f>IF(ISNUMBER(
   IF(J_V="SI",(Datos!J14-Datos!T14)/Datos!T14,(Datos!J14+Datos!Z14-(Datos!T14+Datos!AH14))/(Datos!T14+Datos!AH14))
     ),IF(J_V="SI",(Datos!J14-Datos!T14)/Datos!T14,(Datos!J14+Datos!Z14-(Datos!T14+Datos!AH14))/(Datos!T14+Datos!AH14))," - ")</f>
        <v>-8.7499999999999994E-2</v>
      </c>
      <c r="D14" s="1152">
        <f>IF(ISNUMBER(
   IF(J_V="SI",(Datos!K14-Datos!U14)/Datos!U14,(Datos!K14+Datos!AA14-(Datos!U14+Datos!AI14))/(Datos!U14+Datos!AI14))
     ),IF(J_V="SI",(Datos!K14-Datos!U14)/Datos!U14,(Datos!K14+Datos!AA14-(Datos!U14+Datos!AI14))/(Datos!U14+Datos!AI14))," - ")</f>
        <v>0.2</v>
      </c>
      <c r="E14" s="1152">
        <f>IF(ISNUMBER(
   IF(J_V="SI",(Datos!L14-Datos!V14)/Datos!V14,(Datos!L14+Datos!AB14-(Datos!V14+Datos!AJ14))/(Datos!V14+Datos!AJ14))
     ),IF(J_V="SI",(Datos!L14-Datos!V14)/Datos!V14,(Datos!L14+Datos!AB14-(Datos!V14+Datos!AJ14))/(Datos!V14+Datos!AJ14))," - ")</f>
        <v>0.16865671641791044</v>
      </c>
      <c r="F14" s="1153">
        <f>IF(ISNUMBER((Datos!M14-Datos!W14)/Datos!W14),(Datos!M14-Datos!W14)/Datos!W14," - ")</f>
        <v>-0.31034482758620691</v>
      </c>
      <c r="G14" s="1154">
        <f>IF(ISNUMBER((Datos!N14-Datos!X14)/Datos!X14),(Datos!N14-Datos!X14)/Datos!X14," - ")</f>
        <v>0.54285714285714282</v>
      </c>
      <c r="H14" s="1154">
        <f>IF(ISNUMBER(((NºAsuntos!G14/NºAsuntos!E14)-Datos!BD14)/Datos!BD14),((NºAsuntos!G14/NºAsuntos!E14)-Datos!BD14)/Datos!BD14," - ")</f>
        <v>0.31506849315068486</v>
      </c>
      <c r="I14" s="1154">
        <f>IF(ISNUMBER(((NºAsuntos!I14/NºAsuntos!G14)-Datos!BE14)/Datos!BE14),((NºAsuntos!I14/NºAsuntos!G14)-Datos!BE14)/Datos!BE14," - ")</f>
        <v>-2.611940298507464E-2</v>
      </c>
      <c r="J14" s="1154">
        <f>IF(ISNUMBER((('Resol  Asuntos'!D14/NºAsuntos!G14)-Datos!BF14)/Datos!BF14),(('Resol  Asuntos'!D14/NºAsuntos!G14)-Datos!BF14)/Datos!BF14," - ")</f>
        <v>-0.52380952380952384</v>
      </c>
      <c r="K14" s="1154">
        <f>IF(ISNUMBER((((NºAsuntos!C14+NºAsuntos!E14)/NºAsuntos!G14)-Datos!BG14)/Datos!BG14),(((NºAsuntos!C14+NºAsuntos!E14)/NºAsuntos!G14)-Datos!BG14)/Datos!BG14," - ")</f>
        <v>-2.0599250936329732E-2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-0.20699708454810495</v>
      </c>
      <c r="C17" s="515">
        <f>IF(ISNUMBER(
   IF(D_I="SI",(Datos!J17-Datos!T17)/Datos!T17,(Datos!J17+Datos!AD17-(Datos!T17+Datos!AL17))/(Datos!T17+Datos!AL17))
     ),IF(D_I="SI",(Datos!J17-Datos!T17)/Datos!T17,(Datos!J17+Datos!AD17-(Datos!T17+Datos!AL17))/(Datos!T17+Datos!AL17))," - ")</f>
        <v>-0.53289473684210531</v>
      </c>
      <c r="D17" s="515">
        <f>IF(ISNUMBER(
   IF(D_I="SI",(Datos!K17-Datos!U17)/Datos!U17,(Datos!K17+Datos!AE17-(Datos!U17+Datos!AM17))/(Datos!U17+Datos!AM17))
     ),IF(D_I="SI",(Datos!K17-Datos!U17)/Datos!U17,(Datos!K17+Datos!AE17-(Datos!U17+Datos!AM17))/(Datos!U17+Datos!AM17))," - ")</f>
        <v>-0.42258064516129035</v>
      </c>
      <c r="E17" s="515">
        <f>IF(ISNUMBER(
   IF(D_I="SI",(Datos!L17-Datos!V17)/Datos!V17,(Datos!L17+Datos!AF17-(Datos!V17+Datos!AN17))/(Datos!V17+Datos!AN17))
     ),IF(D_I="SI",(Datos!L17-Datos!V17)/Datos!V17,(Datos!L17+Datos!AF17-(Datos!V17+Datos!AN17))/(Datos!V17+Datos!AN17))," - ")</f>
        <v>-0.30267062314540061</v>
      </c>
      <c r="F17" s="515">
        <f>IF(ISNUMBER((Datos!M17-Datos!W17)/Datos!W17),(Datos!M17-Datos!W17)/Datos!W17," - ")</f>
        <v>0.25</v>
      </c>
      <c r="G17" s="516">
        <f>IF(ISNUMBER((Datos!N17-Datos!X17)/Datos!X17),(Datos!N17-Datos!X17)/Datos!X17," - ")</f>
        <v>-0.52879581151832455</v>
      </c>
      <c r="H17" s="514">
        <f>IF(ISNUMBER(((NºAsuntos!G17/NºAsuntos!E17)-Datos!BD17)/Datos!BD17),((NºAsuntos!G17/NºAsuntos!E17)-Datos!BD17)/Datos!BD17," - ")</f>
        <v>0.23616537937301249</v>
      </c>
      <c r="I17" s="515">
        <f>IF(ISNUMBER(((NºAsuntos!I17/NºAsuntos!G17)-Datos!BE17)/Datos!BE17),((NºAsuntos!I17/NºAsuntos!G17)-Datos!BE17)/Datos!BE17," - ")</f>
        <v>0.20766540125656865</v>
      </c>
      <c r="J17" s="521">
        <f>IF(ISNUMBER((('Resol  Asuntos'!D17/NºAsuntos!G17)-Datos!BF17)/Datos!BF17),(('Resol  Asuntos'!D17/NºAsuntos!G17)-Datos!BF17)/Datos!BF17," - ")</f>
        <v>1.1648044692737429</v>
      </c>
      <c r="K17" s="522">
        <f>IF(ISNUMBER((((NºAsuntos!C17+NºAsuntos!E17)/NºAsuntos!G17)-Datos!BG17)/Datos!BG17),(((NºAsuntos!C17+NºAsuntos!E17)/NºAsuntos!G17)-Datos!BG17)/Datos!BG17," - ")</f>
        <v>0.10816574995898574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-0.35294117647058826</v>
      </c>
      <c r="C18" s="515">
        <f>IF(ISNUMBER(
   IF(D_I="SI",(Datos!J18-Datos!T18)/Datos!T18,(Datos!J18+Datos!AD18-(Datos!T18+Datos!AL18))/(Datos!T18+Datos!AL18))
     ),IF(D_I="SI",(Datos!J18-Datos!T18)/Datos!T18,(Datos!J18+Datos!AD18-(Datos!T18+Datos!AL18))/(Datos!T18+Datos!AL18))," - ")</f>
        <v>-0.41379310344827586</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-0.4</v>
      </c>
      <c r="G18" s="516">
        <f>IF(ISNUMBER((Datos!N18-Datos!X18)/Datos!X18),(Datos!N18-Datos!X18)/Datos!X18," - ")</f>
        <v>1</v>
      </c>
      <c r="H18" s="514">
        <f>IF(ISNUMBER(((NºAsuntos!G18/NºAsuntos!E18)-Datos!BD18)/Datos!BD18),((NºAsuntos!G18/NºAsuntos!E18)-Datos!BD18)/Datos!BD18," - ")</f>
        <v>0.13725490196078427</v>
      </c>
      <c r="I18" s="515">
        <f>IF(ISNUMBER(((NºAsuntos!I18/NºAsuntos!G18)-Datos!BE18)/Datos!BE18),((NºAsuntos!I18/NºAsuntos!G18)-Datos!BE18)/Datos!BE18," - ")</f>
        <v>0.31249999999999994</v>
      </c>
      <c r="J18" s="521">
        <f>IF(ISNUMBER((('Resol  Asuntos'!D18/NºAsuntos!G18)-Datos!BF18)/Datos!BF18),(('Resol  Asuntos'!D18/NºAsuntos!G18)-Datos!BF18)/Datos!BF18," - ")</f>
        <v>-9.9999999999999978E-2</v>
      </c>
      <c r="K18" s="522">
        <f>IF(ISNUMBER((((NºAsuntos!C18+NºAsuntos!E18)/NºAsuntos!G18)-Datos!BG18)/Datos!BG18),(((NºAsuntos!C18+NºAsuntos!E18)/NºAsuntos!G18)-Datos!BG18)/Datos!BG18," - ")</f>
        <v>-8.6956521739130557E-2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-0.21388888888888888</v>
      </c>
      <c r="C23" s="1152">
        <f>IF(ISNUMBER(
   IF(Criterios!B14="SI",(Datos!J23-Datos!T23)/Datos!T23,(Datos!J23+Datos!AD23-(Datos!T23+Datos!AL23))/(Datos!T23+Datos!AL23))
     ),IF(Criterios!B14="SI",(Datos!J23-Datos!T23)/Datos!T23,(Datos!J23+Datos!AD23-(Datos!T23+Datos!AL23))/(Datos!T23+Datos!AL23))," - ")</f>
        <v>-0.52252252252252251</v>
      </c>
      <c r="D23" s="1152">
        <f>IF(ISNUMBER(
   IF(Criterios!B14="SI",(Datos!K23-Datos!U23)/Datos!U23,(Datos!K23+Datos!AE23-(Datos!U23+Datos!AM23))/(Datos!U23+Datos!AM23))
     ),IF(Criterios!B14="SI",(Datos!K23-Datos!U23)/Datos!U23,(Datos!K23+Datos!AE23-(Datos!U23+Datos!AM23))/(Datos!U23+Datos!AM23))," - ")</f>
        <v>-0.4147058823529412</v>
      </c>
      <c r="E23" s="1152">
        <f>IF(ISNUMBER(
   IF(Criterios!B14="SI",(Datos!L23-Datos!V23)/Datos!V23,(Datos!L23+Datos!AF23-(Datos!V23+Datos!AN23))/(Datos!V23+Datos!AN23))
     ),IF(Criterios!B14="SI",(Datos!L23-Datos!V23)/Datos!V23,(Datos!L23+Datos!AF23-(Datos!V23+Datos!AN23))/(Datos!V23+Datos!AN23))," - ")</f>
        <v>-0.29461756373937675</v>
      </c>
      <c r="F23" s="1153">
        <f>IF(ISNUMBER((Datos!M23-Datos!W23)/Datos!W23),(Datos!M23-Datos!W23)/Datos!W23," - ")</f>
        <v>0.16216216216216217</v>
      </c>
      <c r="G23" s="1154">
        <f>IF(ISNUMBER((Datos!N23-Datos!X23)/Datos!X23),(Datos!N23-Datos!X23)/Datos!X23," - ")</f>
        <v>-0.46733668341708545</v>
      </c>
      <c r="H23" s="1154">
        <f>IF(ISNUMBER(((NºAsuntos!G23/NºAsuntos!E23)-Datos!BD23)/Datos!BD23),((NºAsuntos!G23/NºAsuntos!E23)-Datos!BD23)/Datos!BD23," - ")</f>
        <v>0.22580466148723624</v>
      </c>
      <c r="I23" s="1154">
        <f>IF(ISNUMBER(((NºAsuntos!I23/NºAsuntos!G23)-Datos!BE23)/Datos!BE23),((NºAsuntos!I23/NºAsuntos!G23)-Datos!BE23)/Datos!BE23," - ")</f>
        <v>0.20517602175181845</v>
      </c>
      <c r="J23" s="1154">
        <f>IF(ISNUMBER((('Resol  Asuntos'!D23/NºAsuntos!G23)-Datos!BF23)/Datos!BF23),(('Resol  Asuntos'!D23/NºAsuntos!G23)-Datos!BF23)/Datos!BF23," - ")</f>
        <v>0.98560369414640758</v>
      </c>
      <c r="K23" s="1154">
        <f>IF(ISNUMBER((((NºAsuntos!C23+NºAsuntos!E23)/NºAsuntos!G23)-Datos!BG23)/Datos!BG23),(((NºAsuntos!C23+NºAsuntos!E23)/NºAsuntos!G23)-Datos!BG23)/Datos!BG23," - ")</f>
        <v>8.9719883689733049E-2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8.5321100917431197E-2</v>
      </c>
      <c r="C31" s="1092">
        <f>IF(ISNUMBER(
   IF(J_V="SI",(Datos!J31-Datos!T31)/Datos!T31,(Datos!J31+Datos!Z31-(Datos!T31+Datos!AH31))/(Datos!T31+Datos!AH31))
     ),IF(J_V="SI",(Datos!J31-Datos!T31)/Datos!T31,(Datos!J31+Datos!Z31-(Datos!T31+Datos!AH31))/(Datos!T31+Datos!AH31))," - ")</f>
        <v>-0.38133874239350912</v>
      </c>
      <c r="D31" s="1092">
        <f>IF(ISNUMBER(
   IF(J_V="SI",(Datos!K31-Datos!U31)/Datos!U31,(Datos!K31+Datos!AA31-(Datos!U31+Datos!AI31))/(Datos!U31+Datos!AI31))
     ),IF(J_V="SI",(Datos!K31-Datos!U31)/Datos!U31,(Datos!K31+Datos!AA31-(Datos!U31+Datos!AI31))/(Datos!U31+Datos!AI31))," - ")</f>
        <v>-0.17321428571428571</v>
      </c>
      <c r="E31" s="1092">
        <f>IF(ISNUMBER(
   IF(J_V="SI",(Datos!L31-Datos!V31)/Datos!V31,(Datos!L31+Datos!AB31-(Datos!V31+Datos!AJ31))/(Datos!V31+Datos!AJ31))
     ),IF(J_V="SI",(Datos!L31-Datos!V31)/Datos!V31,(Datos!L31+Datos!AB31-(Datos!V31+Datos!AJ31))/(Datos!V31+Datos!AJ31))," - ")</f>
        <v>8.7976539589442824E-3</v>
      </c>
      <c r="F31" s="1093">
        <f>IF(ISNUMBER((Datos!M31-Datos!W31)/Datos!W31),(Datos!M31-Datos!W31)/Datos!W31," - ")</f>
        <v>-0.12631578947368421</v>
      </c>
      <c r="G31" s="1094">
        <f>IF(ISNUMBER((Datos!N31-Datos!X31)/Datos!X31),(Datos!N31-Datos!X31)/Datos!X31," - ")</f>
        <v>-0.20446096654275092</v>
      </c>
      <c r="H31" s="1095">
        <f>IF(ISNUMBER((Tasas!B31-Datos!BD31)/Datos!BD31),(Tasas!B31-Datos!BD31)/Datos!BD31," - ")</f>
        <v>0.33641100702576116</v>
      </c>
      <c r="I31" s="1096">
        <f>IF(ISNUMBER((Tasas!C31-Datos!BE31)/Datos!BE31),(Tasas!C31-Datos!BE31)/Datos!BE31," - ")</f>
        <v>0.22014403070628241</v>
      </c>
      <c r="J31" s="1097">
        <f>IF(ISNUMBER((Tasas!D31-Datos!BF31)/Datos!BF31),(Tasas!D31-Datos!BF31)/Datos!BF31," - ")</f>
        <v>-6.178720655618572E-2</v>
      </c>
      <c r="K31" s="1097">
        <f>IF(ISNUMBER((Tasas!E31-Datos!BG31)/Datos!BG31),(Tasas!E31-Datos!BG31)/Datos!BG31," - ")</f>
        <v>0.13691776420362678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tmzRK0WV7pqy/ar1V10801leSyajdMUSoJLvnf15i6ZInWZfqWEFAdppXnLQTSBxDnXMUr6h3s+dEyiGZfsdg==" saltValue="m0rpNFMwEhWqHFzRjlI3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PURCHENA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4.666666666666667</v>
      </c>
      <c r="D10" s="499">
        <f>IF(ISNUMBER('Resol  Asuntos'!D10/NºAsuntos!G10),'Resol  Asuntos'!D10/NºAsuntos!G10," - ")</f>
        <v>0.33333333333333331</v>
      </c>
      <c r="E10" s="500">
        <f>IF(ISNUMBER((NºAsuntos!C10+NºAsuntos!E10)/NºAsuntos!G10),(NºAsuntos!C10+NºAsuntos!E10)/NºAsuntos!G10," - ")</f>
        <v>5.666666666666667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1.8</v>
      </c>
      <c r="C12" s="498">
        <f>IF(ISNUMBER(NºAsuntos!I12/NºAsuntos!G12),NºAsuntos!I12/NºAsuntos!G12," - ")</f>
        <v>2.946360153256705</v>
      </c>
      <c r="D12" s="499">
        <f>IF(ISNUMBER('Resol  Asuntos'!D12/NºAsuntos!G12),'Resol  Asuntos'!D12/NºAsuntos!G12," - ")</f>
        <v>0.14942528735632185</v>
      </c>
      <c r="E12" s="500">
        <f>IF(ISNUMBER((NºAsuntos!C12+NºAsuntos!E12)/NºAsuntos!G12),(NºAsuntos!C12+NºAsuntos!E12)/NºAsuntos!G12," - ")</f>
        <v>3.9425287356321839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1.8082191780821917</v>
      </c>
      <c r="C14" s="1156">
        <f>IF(ISNUMBER(NºAsuntos!I14/NºAsuntos!G14),NºAsuntos!I14/NºAsuntos!G14," - ")</f>
        <v>2.9659090909090908</v>
      </c>
      <c r="D14" s="1157">
        <f>IF(ISNUMBER('Resol  Asuntos'!D14/NºAsuntos!G14),'Resol  Asuntos'!D14/NºAsuntos!G14," - ")</f>
        <v>0.15151515151515152</v>
      </c>
      <c r="E14" s="1158">
        <f>IF(ISNUMBER((NºAsuntos!C14+NºAsuntos!E14)/NºAsuntos!G14),(NºAsuntos!C14+NºAsuntos!E14)/NºAsuntos!G14," - ")</f>
        <v>3.9621212121212119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1.2605633802816902</v>
      </c>
      <c r="C17" s="498">
        <f>IF(ISNUMBER(NºAsuntos!I17/NºAsuntos!G17),NºAsuntos!I17/NºAsuntos!G17," - ")</f>
        <v>1.3128491620111731</v>
      </c>
      <c r="D17" s="499">
        <f>IF(ISNUMBER('Resol  Asuntos'!D17/NºAsuntos!G17),'Resol  Asuntos'!D17/NºAsuntos!G17," - ")</f>
        <v>0.22346368715083798</v>
      </c>
      <c r="E17" s="500">
        <f>IF(ISNUMBER((NºAsuntos!C17+NºAsuntos!E17)/NºAsuntos!G17),(NºAsuntos!C17+NºAsuntos!E17)/NºAsuntos!G17," - ")</f>
        <v>2.3128491620111733</v>
      </c>
      <c r="G17" s="523"/>
    </row>
    <row r="18" spans="1:7">
      <c r="A18" s="450" t="str">
        <f>Datos!A18</f>
        <v>Jdos. Violencia contra la mujer</v>
      </c>
      <c r="B18" s="497">
        <f>IF(ISNUMBER(NºAsuntos!G18/NºAsuntos!E18),NºAsuntos!G18/NºAsuntos!E18," - ")</f>
        <v>1.1764705882352942</v>
      </c>
      <c r="C18" s="498">
        <f>IF(ISNUMBER(NºAsuntos!I18/NºAsuntos!G18),NºAsuntos!I18/NºAsuntos!G18," - ")</f>
        <v>0.7</v>
      </c>
      <c r="D18" s="499">
        <f>IF(ISNUMBER('Resol  Asuntos'!D18/NºAsuntos!G18),'Resol  Asuntos'!D18/NºAsuntos!G18," - ")</f>
        <v>0.15</v>
      </c>
      <c r="E18" s="500">
        <f>IF(ISNUMBER((NºAsuntos!C18+NºAsuntos!E18)/NºAsuntos!G18),(NºAsuntos!C18+NºAsuntos!E18)/NºAsuntos!G18," - ")</f>
        <v>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1.2515723270440251</v>
      </c>
      <c r="C23" s="1156">
        <f>IF(ISNUMBER(NºAsuntos!I23/NºAsuntos!G23),NºAsuntos!I23/NºAsuntos!G23," - ")</f>
        <v>1.2512562814070352</v>
      </c>
      <c r="D23" s="1159">
        <f>IF(ISNUMBER('Resol  Asuntos'!D23/NºAsuntos!G23),'Resol  Asuntos'!D23/NºAsuntos!G23," - ")</f>
        <v>0.21608040201005024</v>
      </c>
      <c r="E23" s="1158">
        <f>IF(ISNUMBER((NºAsuntos!C23+NºAsuntos!E23)/NºAsuntos!G23),(NºAsuntos!C23+NºAsuntos!E23)/NºAsuntos!G23," - ")</f>
        <v>2.221105527638191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1.5180327868852459</v>
      </c>
      <c r="C31" s="1099">
        <f>IF(ISNUMBER(NºAsuntos!I31/NºAsuntos!G31),NºAsuntos!I31/NºAsuntos!G31," - ")</f>
        <v>2.2289416846652266</v>
      </c>
      <c r="D31" s="1100">
        <f>IF(ISNUMBER('Resol  Asuntos'!D31/NºAsuntos!G31),'Resol  Asuntos'!D31/NºAsuntos!G31," - ")</f>
        <v>0.17926565874730022</v>
      </c>
      <c r="E31" s="1101">
        <f>IF(ISNUMBER((NºAsuntos!C31+NºAsuntos!E31)/NºAsuntos!G31),(NºAsuntos!C31+NºAsuntos!E31)/NºAsuntos!G31," - ")</f>
        <v>3.2138228941684663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exXKlY+fHf9v1+L5U8U9vrKqamTJAMPpj7YQUw41cCfbjjy186KqdpLu/21ahnSNmOW9kY81bSfyFwoGAxVwA==" saltValue="mzc2cQcYkK00llqVd8+/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PURCHENA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14.000000000000002</v>
      </c>
      <c r="AN10" s="267">
        <f>IF(ISNUMBER('Resol  Asuntos'!D10/NºAsuntos!G10),'Resol  Asuntos'!D10/NºAsuntos!G10," - ")</f>
        <v>0.33333333333333331</v>
      </c>
      <c r="AO10" s="268">
        <f>IF(ISNUMBER((NºAsuntos!C10+NºAsuntos!E10)/NºAsuntos!G10),(NºAsuntos!C10+NºAsuntos!E10)/NºAsuntos!G10," - ")</f>
        <v>5.666666666666667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1.8</v>
      </c>
      <c r="AM12" s="284">
        <f>IF(ISNUMBER(((NºAsuntos!I12/NºAsuntos!G12)*11)/factor_trimestre),((NºAsuntos!I12/NºAsuntos!G12)*11)/factor_trimestre," - ")</f>
        <v>8.8390804597701145</v>
      </c>
      <c r="AN12" s="267">
        <f>IF(ISNUMBER('Resol  Asuntos'!D12/NºAsuntos!G12),'Resol  Asuntos'!D12/NºAsuntos!G12," - ")</f>
        <v>0.14942528735632185</v>
      </c>
      <c r="AO12" s="268">
        <f>IF(ISNUMBER((NºAsuntos!C12+NºAsuntos!E12)/NºAsuntos!G12),(NºAsuntos!C12+NºAsuntos!E12)/NºAsuntos!G12," - ")</f>
        <v>3.9425287356321839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16</v>
      </c>
      <c r="G14" s="1163">
        <f t="shared" si="5"/>
        <v>16</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26</v>
      </c>
      <c r="Y14" s="1165">
        <f t="shared" si="6"/>
        <v>29</v>
      </c>
      <c r="Z14" s="1165">
        <f t="shared" si="6"/>
        <v>0</v>
      </c>
      <c r="AA14" s="1165">
        <f t="shared" si="6"/>
        <v>14</v>
      </c>
      <c r="AB14" s="1165">
        <f t="shared" si="6"/>
        <v>1266</v>
      </c>
      <c r="AC14" s="1165">
        <f t="shared" si="6"/>
        <v>14</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1.8082191780821917</v>
      </c>
      <c r="AM14" s="1171">
        <f>IF(ISNUMBER(((NºAsuntos!I14/NºAsuntos!G14)*11)/factor_trimestre),((NºAsuntos!I14/NºAsuntos!G14)*11)/factor_trimestre," - ")</f>
        <v>8.8977272727272734</v>
      </c>
      <c r="AN14" s="1172">
        <f>IF(ISNUMBER('Resol  Asuntos'!D14/NºAsuntos!G14),'Resol  Asuntos'!D14/NºAsuntos!G14," - ")</f>
        <v>0.15151515151515152</v>
      </c>
      <c r="AO14" s="1173">
        <f>IF(ISNUMBER((NºAsuntos!C14+NºAsuntos!E14)/NºAsuntos!G14),(NºAsuntos!C14+NºAsuntos!E14)/NºAsuntos!G14," - ")</f>
        <v>3.9621212121212119</v>
      </c>
      <c r="AP14" s="1174" t="str">
        <f t="shared" si="2"/>
        <v xml:space="preserve"> - </v>
      </c>
      <c r="AQ14" s="1174">
        <f>IF(ISNUMBER((H14-W14+K14)/(F14)),(H14-W14+K14)/(F14)," - ")</f>
        <v>-0.1875</v>
      </c>
      <c r="AR14" s="1175">
        <f>IF(ISNUMBER((Datos!P14-Datos!Q14)/(Datos!R14-Datos!P14+Datos!Q14)),(Datos!P14-Datos!Q14)/(Datos!R14-Datos!P14+Datos!Q14)," - ")</f>
        <v>7.9051383399209485E-4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272</v>
      </c>
      <c r="G17" s="373">
        <f>IF(ISNUMBER(IF(D_I="SI",Datos!I17,Datos!I17+Datos!AC17)),IF(D_I="SI",Datos!I17,Datos!I17+Datos!AC17)," - ")</f>
        <v>272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179</v>
      </c>
      <c r="X17" s="240">
        <f>IF(ISNUMBER(Datos!Q17),Datos!Q17," - ")</f>
        <v>8</v>
      </c>
      <c r="Y17" s="374">
        <f t="shared" ref="Y17:Y22" si="9">SUM(W17:X17)</f>
        <v>187</v>
      </c>
      <c r="Z17" s="375" t="str">
        <f>IF(ISNUMBER(Datos!CC17),Datos!CC17," - ")</f>
        <v xml:space="preserve"> - </v>
      </c>
      <c r="AA17" s="372">
        <f>IF(ISNUMBER(IF(D_I="SI",Datos!L17,Datos!L17+Datos!AF17)),IF(D_I="SI",Datos!L17,Datos!L17+Datos!AF17)," - ")</f>
        <v>235</v>
      </c>
      <c r="AB17" s="374">
        <f>IF(ISNUMBER(Datos!R17),Datos!R17," - ")</f>
        <v>25</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1.2605633802816902</v>
      </c>
      <c r="AM17" s="284">
        <f>IF(ISNUMBER(((NºAsuntos!I17/NºAsuntos!G17)*11)/factor_trimestre),((NºAsuntos!I17/NºAsuntos!G17)*11)/factor_trimestre," - ")</f>
        <v>3.9385474860335195</v>
      </c>
      <c r="AN17" s="267">
        <f>IF(ISNUMBER('Resol  Asuntos'!D17/NºAsuntos!G17),'Resol  Asuntos'!D17/NºAsuntos!G17," - ")</f>
        <v>0.22346368715083798</v>
      </c>
      <c r="AO17" s="268">
        <f>IF(ISNUMBER((NºAsuntos!C17+NºAsuntos!E17)/NºAsuntos!G17),(NºAsuntos!C17+NºAsuntos!E17)/NºAsuntos!G17," - ")</f>
        <v>2.3128491620111733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1.1764705882352942</v>
      </c>
      <c r="AM18" s="284">
        <f>IF(ISNUMBER(((NºAsuntos!I18/NºAsuntos!G18)*11)/factor_trimestre),((NºAsuntos!I18/NºAsuntos!G18)*11)/factor_trimestre," - ")</f>
        <v>2.1</v>
      </c>
      <c r="AN18" s="267">
        <f>IF(ISNUMBER('Resol  Asuntos'!D18/NºAsuntos!G18),'Resol  Asuntos'!D18/NºAsuntos!G18," - ")</f>
        <v>0.15</v>
      </c>
      <c r="AO18" s="268">
        <f>IF(ISNUMBER((NºAsuntos!C18+NºAsuntos!E18)/NºAsuntos!G18),(NºAsuntos!C18+NºAsuntos!E18)/NºAsuntos!G18," - ")</f>
        <v>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272</v>
      </c>
      <c r="G23" s="1163">
        <f>SUBTOTAL(9,G16:G22)</f>
        <v>283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v>
      </c>
      <c r="X23" s="1164">
        <f t="shared" si="14"/>
        <v>8</v>
      </c>
      <c r="Y23" s="1165">
        <f t="shared" si="14"/>
        <v>207</v>
      </c>
      <c r="Z23" s="1165">
        <f t="shared" si="14"/>
        <v>0</v>
      </c>
      <c r="AA23" s="1165">
        <f t="shared" si="14"/>
        <v>249</v>
      </c>
      <c r="AB23" s="1165">
        <f t="shared" si="14"/>
        <v>25</v>
      </c>
      <c r="AC23" s="1165">
        <f t="shared" si="14"/>
        <v>274</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1.2515723270440251</v>
      </c>
      <c r="AM23" s="1171">
        <f>IF(ISNUMBER(((NºAsuntos!I23/NºAsuntos!G23)*11)/factor_trimestre),((NºAsuntos!I23/NºAsuntos!G23)*11)/factor_trimestre," - ")</f>
        <v>3.7537688442211059</v>
      </c>
      <c r="AN23" s="1172">
        <f>IF(ISNUMBER('Resol  Asuntos'!D23/NºAsuntos!G23),'Resol  Asuntos'!D23/NºAsuntos!G23," - ")</f>
        <v>0.21608040201005024</v>
      </c>
      <c r="AO23" s="1173">
        <f>IF(ISNUMBER((NºAsuntos!C23+NºAsuntos!E23)/NºAsuntos!G23),(NºAsuntos!C23+NºAsuntos!E23)/NºAsuntos!G23," - ")</f>
        <v>2.221105527638191</v>
      </c>
      <c r="AP23" s="1174" t="str">
        <f t="shared" si="2"/>
        <v xml:space="preserve"> - </v>
      </c>
      <c r="AQ23" s="1174">
        <f>IF(ISNUMBER((H23-W23+K23)/(F23)),(H23-W23+K23)/(F23)," - ")</f>
        <v>-0.73161764705882348</v>
      </c>
      <c r="AR23" s="1175">
        <f>IF(ISNUMBER((Datos!P23-Datos!Q23)/(Datos!R23-Datos!P23+Datos!Q23)),(Datos!P23-Datos!Q23)/(Datos!R23-Datos!P23+Datos!Q23)," - ")</f>
        <v>-0.24242424242424243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288</v>
      </c>
      <c r="G31" s="1118">
        <f t="shared" si="20"/>
        <v>299</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v>
      </c>
      <c r="X31" s="1118">
        <f t="shared" si="21"/>
        <v>34</v>
      </c>
      <c r="Y31" s="1125">
        <f t="shared" si="21"/>
        <v>236</v>
      </c>
      <c r="Z31" s="1125">
        <f t="shared" si="21"/>
        <v>0</v>
      </c>
      <c r="AA31" s="1125">
        <f t="shared" si="21"/>
        <v>263</v>
      </c>
      <c r="AB31" s="1125">
        <f t="shared" si="21"/>
        <v>1291</v>
      </c>
      <c r="AC31" s="1125">
        <f t="shared" si="21"/>
        <v>288</v>
      </c>
      <c r="AD31" s="1125">
        <f t="shared" si="21"/>
        <v>0</v>
      </c>
      <c r="AE31" s="1127">
        <f t="shared" si="21"/>
        <v>0</v>
      </c>
      <c r="AF31" s="1128">
        <f t="shared" si="21"/>
        <v>0</v>
      </c>
      <c r="AG31" s="1129">
        <f t="shared" si="21"/>
        <v>0</v>
      </c>
      <c r="AH31" s="1127">
        <f t="shared" si="21"/>
        <v>0</v>
      </c>
      <c r="AI31" s="1117">
        <f t="shared" si="21"/>
        <v>83</v>
      </c>
      <c r="AJ31" s="1117">
        <f t="shared" si="21"/>
        <v>0</v>
      </c>
      <c r="AK31" s="1127">
        <f t="shared" si="21"/>
        <v>0</v>
      </c>
      <c r="AL31" s="1183">
        <f>IF(ISNUMBER(NºAsuntos!G31/NºAsuntos!E31),NºAsuntos!G31/NºAsuntos!E31," - ")</f>
        <v>1.5180327868852459</v>
      </c>
      <c r="AM31" s="1184">
        <f>IF(ISNUMBER(((NºAsuntos!I31/NºAsuntos!G31)*11)/factor_trimestre),((NºAsuntos!I31/NºAsuntos!G31)*11)/factor_trimestre," - ")</f>
        <v>6.6868250539956797</v>
      </c>
      <c r="AN31" s="1184">
        <f>IF(ISNUMBER('Resol  Asuntos'!D31/NºAsuntos!G31),'Resol  Asuntos'!D31/NºAsuntos!G31," - ")</f>
        <v>0.17926565874730022</v>
      </c>
      <c r="AO31" s="1185">
        <f>IF(ISNUMBER((NºAsuntos!C31+NºAsuntos!E31)/NºAsuntos!G31),(NºAsuntos!C31+NºAsuntos!E31)/NºAsuntos!G31," - ")</f>
        <v>3.2138228941684663</v>
      </c>
      <c r="AP31" s="1186" t="str">
        <f t="shared" si="2"/>
        <v xml:space="preserve"> - </v>
      </c>
      <c r="AQ31" s="1187">
        <f>IF(OR(ISNUMBER(FIND("01",Criterios!A8,1)),ISNUMBER(FIND("02",Criterios!A8,1)),ISNUMBER(FIND("03",Criterios!A8,1)),ISNUMBER(FIND("04",Criterios!A8,1))),(I31-W31+K31)/(F31-K31),(H31-W31+K31)/(F31-K31))</f>
        <v>-0.70138888888888884</v>
      </c>
      <c r="AR31" s="1188">
        <f>IF(ISNUMBER((Datos!P31-Datos!Q31)/(Datos!R31-Datos!P31+Datos!Q31)),(Datos!P31-Datos!Q31)/(Datos!R31-Datos!P31+Datos!Q31)," - ")</f>
        <v>-5.3929121725731898E-3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136.51666564928988</v>
      </c>
      <c r="G33" s="277">
        <f>IF(ISNUMBER(STDEV(G8:G30)),STDEV(G8:G30),"-")</f>
        <v>131.41519083025517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90.132706393987533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21.164323079857088</v>
      </c>
      <c r="AJ33" s="276">
        <f t="shared" si="25"/>
        <v>0</v>
      </c>
      <c r="AK33" s="278">
        <f t="shared" si="25"/>
        <v>0</v>
      </c>
      <c r="AL33" s="273">
        <f t="shared" si="25"/>
        <v>0.68969903978261127</v>
      </c>
      <c r="AM33" s="274">
        <f t="shared" si="25"/>
        <v>4.4691641260188533</v>
      </c>
      <c r="AN33" s="274">
        <f t="shared" si="25"/>
        <v>7.197351650833593E-2</v>
      </c>
      <c r="AO33" s="275">
        <f t="shared" si="25"/>
        <v>1.5611765656388243</v>
      </c>
      <c r="AP33" s="317" t="str">
        <f t="shared" si="25"/>
        <v>-</v>
      </c>
      <c r="AQ33" s="318">
        <f t="shared" si="25"/>
        <v>0.38474927799856262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4xy8+4tkK31PNyf5/FSRMEcX6/kOXo/4rLr8sqLQf2L7Mq/7hQQulWkWY/CnNfae6F534DAFyscLDBJAdtyXw==" saltValue="I3qtXXHOuSxATKk5SJia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PURCHENA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4.333333333333333</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1.3333333333333333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-0.32758620689655171</v>
      </c>
      <c r="I12" s="395">
        <f>IF(ISNUMBER((Tasas!C12-Datos!BE12)/Datos!BE12),(Tasas!C12-Datos!BE12)/Datos!BE12," - ")</f>
        <v>-2.3796334764344704E-2</v>
      </c>
      <c r="J12" s="394">
        <f>IF(ISNUMBER((Tasas!D12-Datos!BF12)/Datos!BF12),(Tasas!D12-Datos!BF12)/Datos!BF12," - ")</f>
        <v>-0.5303776683087027</v>
      </c>
      <c r="K12" s="396">
        <f>IF(ISNUMBER((Tasas!E12-Datos!BG12)/Datos!BG12),(Tasas!E12-Datos!BG12)/Datos!BG12," - ")</f>
        <v>-1.882769022728464E-2</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11</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-0.31034482758620691</v>
      </c>
      <c r="I14" s="402">
        <f>IF(ISNUMBER((Tasas!C14-Datos!BE14)/Datos!BE14),(Tasas!C14-Datos!BE14)/Datos!BE14," - ")</f>
        <v>-2.611940298507464E-2</v>
      </c>
      <c r="J14" s="400">
        <f>IF(ISNUMBER((Tasas!D14-Datos!BF14)/Datos!BF14),(Tasas!D14-Datos!BF14)/Datos!BF14," - ")</f>
        <v>-0.52380952380952384</v>
      </c>
      <c r="K14" s="403">
        <f>IF(ISNUMBER((Tasas!E14-Datos!BG14)/Datos!BG14),(Tasas!E14-Datos!BG14)/Datos!BG14," - ")</f>
        <v>-2.0599250936329732E-2</v>
      </c>
      <c r="M14" t="e">
        <f>IF(Monitorios="SI",Datos!CE14,0)</f>
        <v>#REF!</v>
      </c>
      <c r="N14" t="e">
        <f>IF(Monitorios="SI",Datos!CF14,0)</f>
        <v>#REF!</v>
      </c>
      <c r="O14" t="e">
        <f>IF(Monitorios="SI",Datos!CG14,0)</f>
        <v>#REF!</v>
      </c>
      <c r="P14" t="e">
        <f>IF(Monitorios="SI",Datos!CH14,0)</f>
        <v>#REF!</v>
      </c>
      <c r="Q14">
        <f>IF(J_V="SI",0,Datos!AG14)</f>
        <v>25</v>
      </c>
      <c r="R14">
        <f>IF(J_V="SI",0,Datos!AH14)</f>
        <v>20</v>
      </c>
      <c r="S14">
        <f>IF(J_V="SI",0,Datos!AI14)</f>
        <v>11</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-0.20699708454810495</v>
      </c>
      <c r="E17" s="393">
        <f>IF(ISNUMBER(
   IF(D_I="SI",(Datos!J17-Datos!T17)/Datos!T17,(Datos!J17+Datos!AD17-(Datos!T17+Datos!AL17))/(Datos!T17+Datos!AL17))
     ),IF(D_I="SI",(Datos!J17-Datos!T17)/Datos!T17,(Datos!J17+Datos!AD17-(Datos!T17+Datos!AL17))/(Datos!T17+Datos!AL17))," - ")</f>
        <v>-0.53289473684210531</v>
      </c>
      <c r="F17" s="393">
        <f>IF(ISNUMBER(
   IF(D_I="SI",(Datos!K17-Datos!U17)/Datos!U17,(Datos!K17+Datos!AE17-(Datos!U17+Datos!AM17))/(Datos!U17+Datos!AM17))
     ),IF(D_I="SI",(Datos!K17-Datos!U17)/Datos!U17,(Datos!K17+Datos!AE17-(Datos!U17+Datos!AM17))/(Datos!U17+Datos!AM17))," - ")</f>
        <v>-0.42258064516129035</v>
      </c>
      <c r="G17" s="394">
        <f>IF(ISNUMBER(
   IF(D_I="SI",(Datos!L17-Datos!V17)/Datos!V17,(Datos!L17+Datos!AF17-(Datos!V17+Datos!AN17))/(Datos!V17+Datos!AN17))
     ),IF(D_I="SI",(Datos!L17-Datos!V17)/Datos!V17,(Datos!L17+Datos!AF17-(Datos!V17+Datos!AN17))/(Datos!V17+Datos!AN17))," - ")</f>
        <v>-0.30267062314540061</v>
      </c>
      <c r="H17" s="244">
        <f>IF(ISNUMBER((Datos!M17-Datos!W17)/Datos!W17),(Datos!M17-Datos!W17)/Datos!W17," - ")</f>
        <v>0.25</v>
      </c>
      <c r="I17" s="395">
        <f>IF(ISNUMBER((Tasas!C17-Datos!BE17)/Datos!BE17),(Tasas!C17-Datos!BE17)/Datos!BE17," - ")</f>
        <v>0.20766540125656865</v>
      </c>
      <c r="J17" s="394">
        <f>IF(ISNUMBER((Tasas!D17-Datos!BF17)/Datos!BF17),(Tasas!D17-Datos!BF17)/Datos!BF17," - ")</f>
        <v>1.1648044692737429</v>
      </c>
      <c r="K17" s="396">
        <f>IF(ISNUMBER((Tasas!E17-Datos!BG17)/Datos!BG17),(Tasas!E17-Datos!BG17)/Datos!BG17," - ")</f>
        <v>0.10816574995898574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-0.35294117647058826</v>
      </c>
      <c r="E18" s="393">
        <f>IF(ISNUMBER(
   IF(D_I="SI",(Datos!J18-Datos!T18)/Datos!T18,(Datos!J18+Datos!AD18-(Datos!T18+Datos!AL18))/(Datos!T18+Datos!AL18))
     ),IF(D_I="SI",(Datos!J18-Datos!T18)/Datos!T18,(Datos!J18+Datos!AD18-(Datos!T18+Datos!AL18))/(Datos!T18+Datos!AL18))," - ")</f>
        <v>-0.41379310344827586</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-0.4</v>
      </c>
      <c r="I18" s="395">
        <f>IF(ISNUMBER((Tasas!C18-Datos!BE18)/Datos!BE18),(Tasas!C18-Datos!BE18)/Datos!BE18," - ")</f>
        <v>0.31249999999999994</v>
      </c>
      <c r="J18" s="394">
        <f>IF(ISNUMBER((Tasas!D18-Datos!BF18)/Datos!BF18),(Tasas!D18-Datos!BF18)/Datos!BF18," - ")</f>
        <v>-9.9999999999999978E-2</v>
      </c>
      <c r="K18" s="396">
        <f>IF(ISNUMBER((Tasas!E18-Datos!BG18)/Datos!BG18),(Tasas!E18-Datos!BG18)/Datos!BG18," - ")</f>
        <v>-8.6956521739130557E-2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-0.21388888888888888</v>
      </c>
      <c r="E23" s="399">
        <f>IF(ISNUMBER(
   IF(D_I="SI",(Datos!J23-Datos!T23)/Datos!T23,(Datos!J23+Datos!AD23-(Datos!T23+Datos!AL23))/(Datos!T23+Datos!AL23))
     ),IF(D_I="SI",(Datos!J23-Datos!T23)/Datos!T23,(Datos!J23+Datos!AD23-(Datos!T23+Datos!AL23))/(Datos!T23+Datos!AL23))," - ")</f>
        <v>-0.52252252252252251</v>
      </c>
      <c r="F23" s="399">
        <f>IF(ISNUMBER(
   IF(D_I="SI",(Datos!K23-Datos!U23)/Datos!U23,(Datos!K23+Datos!AE23-(Datos!U23+Datos!AM23))/(Datos!U23+Datos!AM23))
     ),IF(D_I="SI",(Datos!K23-Datos!U23)/Datos!U23,(Datos!K23+Datos!AE23-(Datos!U23+Datos!AM23))/(Datos!U23+Datos!AM23))," - ")</f>
        <v>-0.4147058823529412</v>
      </c>
      <c r="G23" s="400">
        <f>IF(ISNUMBER(
   IF(D_I="SI",(Datos!L23-Datos!V23)/Datos!V23,(Datos!L23+Datos!AF23-(Datos!V23+Datos!AN23))/(Datos!V23+Datos!AN23))
     ),IF(D_I="SI",(Datos!L23-Datos!V23)/Datos!V23,(Datos!L23+Datos!AF23-(Datos!V23+Datos!AN23))/(Datos!V23+Datos!AN23))," - ")</f>
        <v>-0.29461756373937675</v>
      </c>
      <c r="H23" s="401">
        <f>IF(ISNUMBER((Datos!M23-Datos!W23)/Datos!W23),(Datos!M23-Datos!W23)/Datos!W23," - ")</f>
        <v>0.16216216216216217</v>
      </c>
      <c r="I23" s="402">
        <f>IF(ISNUMBER((Tasas!C23-Datos!BE23)/Datos!BE23),(Tasas!C23-Datos!BE23)/Datos!BE23," - ")</f>
        <v>0.20517602175181845</v>
      </c>
      <c r="J23" s="400">
        <f>IF(ISNUMBER((Tasas!D23-Datos!BF23)/Datos!BF23),(Tasas!D23-Datos!BF23)/Datos!BF23," - ")</f>
        <v>0.98560369414640758</v>
      </c>
      <c r="K23" s="403">
        <f>IF(ISNUMBER((Tasas!E23-Datos!BG23)/Datos!BG23),(Tasas!E23-Datos!BG23)/Datos!BG23," - ")</f>
        <v>8.9719883689733049E-2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8.5321100917431197E-2</v>
      </c>
      <c r="E31" s="409">
        <f>IF(ISNUMBER(
   IF(J_V="SI",(Datos!J31-Datos!T31)/Datos!T31,(Datos!J31+Datos!Z31-(Datos!T31+Datos!AH31))/(Datos!T31+Datos!AH31))
     ),IF(J_V="SI",(Datos!J31-Datos!T31)/Datos!T31,(Datos!J31+Datos!Z31-(Datos!T31+Datos!AH31))/(Datos!T31+Datos!AH31))," - ")</f>
        <v>-0.38133874239350912</v>
      </c>
      <c r="F31" s="409">
        <f>IF(ISNUMBER(
   IF(J_V="SI",(Datos!K31-Datos!U31)/Datos!U31,(Datos!K31+Datos!AA31-(Datos!U31+Datos!AI31))/(Datos!U31+Datos!AI31))
     ),IF(J_V="SI",(Datos!K31-Datos!U31)/Datos!U31,(Datos!K31+Datos!AA31-(Datos!U31+Datos!AI31))/(Datos!U31+Datos!AI31))," - ")</f>
        <v>-0.17321428571428571</v>
      </c>
      <c r="G31" s="410">
        <f>IF(ISNUMBER(
   IF(J_V="SI",(Datos!L31-Datos!V31)/Datos!V31,(Datos!L31+Datos!AB31-(Datos!V31+Datos!AJ31))/(Datos!V31+Datos!AJ31))
     ),IF(J_V="SI",(Datos!L31-Datos!V31)/Datos!V31,(Datos!L31+Datos!AB31-(Datos!V31+Datos!AJ31))/(Datos!V31+Datos!AJ31))," - ")</f>
        <v>8.7976539589442824E-3</v>
      </c>
      <c r="H31" s="411">
        <f>IF(ISNUMBER((Datos!M31-Datos!W31)/Datos!W31),(Datos!M31-Datos!W31)/Datos!W31," - ")</f>
        <v>-0.12631578947368421</v>
      </c>
      <c r="I31" s="408">
        <f>IF(ISNUMBER((Tasas!C31-Datos!BE31)/Datos!BE31),(Tasas!C31-Datos!BE31)/Datos!BE31," - ")</f>
        <v>0.22014403070628241</v>
      </c>
      <c r="J31" s="409">
        <f>IF(ISNUMBER((Tasas!D31-Datos!BF31)/Datos!BF31),(Tasas!D31-Datos!BF31)/Datos!BF31," - ")</f>
        <v>-6.178720655618572E-2</v>
      </c>
      <c r="K31" s="410">
        <f>IF(ISNUMBER((Tasas!E31-Datos!BG31)/Datos!BG31),(Tasas!E31-Datos!BG31)/Datos!BG31," - ")</f>
        <v>0.13691776420362678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2.2966221887927945</v>
      </c>
      <c r="E33" s="303">
        <f t="shared" si="1"/>
        <v>0.10357459910373538</v>
      </c>
      <c r="F33" s="303">
        <f t="shared" si="1"/>
        <v>4.941083938393942E-2</v>
      </c>
      <c r="G33" s="304">
        <f t="shared" si="1"/>
        <v>0.79130014322572195</v>
      </c>
      <c r="H33" s="310">
        <f t="shared" si="1"/>
        <v>0.3058209711099012</v>
      </c>
      <c r="I33" s="302">
        <f t="shared" si="1"/>
        <v>0.15238674998171475</v>
      </c>
      <c r="J33" s="303">
        <f t="shared" si="1"/>
        <v>0.82087906190511983</v>
      </c>
      <c r="K33" s="304">
        <f t="shared" si="1"/>
        <v>8.2260596035726802E-2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1/0EyeHBlmPnVW5gs3oucVo2a3Ox6muJ87HXaaZiavm8/0/0GijunyJM8jOirwL3JAqKi4SKm8vOoqYwa1gkg==" saltValue="ywGpI6PJ/ypSnWpYrJ+m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